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300" windowWidth="20730" windowHeight="5700" firstSheet="1" activeTab="1"/>
  </bookViews>
  <sheets>
    <sheet name="CONTO ECO" sheetId="9" state="hidden" r:id="rId1"/>
    <sheet name="SP-ATTIVO" sheetId="1" r:id="rId2"/>
    <sheet name="SP- PASSIVO" sheetId="2" r:id="rId3"/>
    <sheet name="DETTAGLI" sheetId="19" state="hidden" r:id="rId4"/>
    <sheet name="ALTRE CAUSE" sheetId="17" r:id="rId5"/>
    <sheet name="TITOLO 2 NON IMMOBILIZZATI" sheetId="18" state="hidden" r:id="rId6"/>
    <sheet name="CONCILIAZIONE" sheetId="21" r:id="rId7"/>
    <sheet name="Attivo" sheetId="3" state="hidden" r:id="rId8"/>
    <sheet name="Passivo" sheetId="4" state="hidden" r:id="rId9"/>
    <sheet name="Accertamenti competenza" sheetId="13" state="hidden" r:id="rId10"/>
    <sheet name="Impegni competenza" sheetId="12" state="hidden" r:id="rId11"/>
    <sheet name="Bilancio entrata" sheetId="14" state="hidden" r:id="rId12"/>
    <sheet name="Bilancio spesa" sheetId="15" state="hidden" r:id="rId13"/>
    <sheet name="Altre" sheetId="5" state="hidden" r:id="rId14"/>
    <sheet name="Ratei e risconti" sheetId="20" state="hidden" r:id="rId15"/>
    <sheet name="Titolo 2" sheetId="16" state="hidden" r:id="rId16"/>
    <sheet name="Variazioni immobilizzazioni CF" sheetId="6" state="hidden" r:id="rId17"/>
    <sheet name="Variazioni immobilizzazioni AC" sheetId="7" state="hidden" r:id="rId18"/>
  </sheets>
  <definedNames>
    <definedName name="_xlnm.Print_Area" localSheetId="4">'ALTRE CAUSE'!$A$1:$D$40</definedName>
    <definedName name="_xlnm.Print_Area" localSheetId="6">CONCILIAZIONE!$A$1:$C$33</definedName>
    <definedName name="_xlnm.Print_Area" localSheetId="0">'CONTO ECO'!$A$1:$E$83</definedName>
    <definedName name="_xlnm.Print_Area" localSheetId="3">DETTAGLI!$A$1:$C$16</definedName>
    <definedName name="_xlnm.Print_Area" localSheetId="14">'Ratei e risconti'!$A$6:$I$50</definedName>
    <definedName name="_xlnm.Print_Area" localSheetId="2">'SP- PASSIVO'!$A$1:$K$70</definedName>
    <definedName name="_xlnm.Print_Area" localSheetId="1">'SP-ATTIVO'!$A$1:$K$96</definedName>
    <definedName name="_xlnm.Print_Area" localSheetId="5">'TITOLO 2 NON IMMOBILIZZATI'!$A$1:$D$34</definedName>
    <definedName name="_xlnm.Print_Titles" localSheetId="0">'CONTO ECO'!$1:$4</definedName>
    <definedName name="_xlnm.Print_Titles" localSheetId="2">'SP- PASSIVO'!$1:$4</definedName>
    <definedName name="_xlnm.Print_Titles" localSheetId="1">'SP-ATTIVO'!$A:$C,'SP-ATTIVO'!$1:$4</definedName>
  </definedNames>
  <calcPr calcId="145621"/>
</workbook>
</file>

<file path=xl/calcChain.xml><?xml version="1.0" encoding="utf-8"?>
<calcChain xmlns="http://schemas.openxmlformats.org/spreadsheetml/2006/main">
  <c r="I15" i="2" l="1"/>
  <c r="I10" i="2"/>
  <c r="D165" i="5"/>
  <c r="D136" i="5"/>
  <c r="F136" i="5"/>
  <c r="D135" i="5"/>
  <c r="I71" i="1"/>
  <c r="F106" i="5" l="1"/>
  <c r="F105" i="5"/>
  <c r="D87" i="5" l="1"/>
  <c r="D44" i="5" l="1"/>
  <c r="C46" i="5" s="1"/>
  <c r="F40" i="5"/>
  <c r="D40" i="5"/>
  <c r="P171" i="12" l="1"/>
  <c r="P170" i="12"/>
  <c r="P169" i="12"/>
  <c r="P168" i="12"/>
  <c r="P167" i="12"/>
  <c r="P166" i="12"/>
  <c r="P165" i="12"/>
  <c r="P164" i="12"/>
  <c r="P163" i="12"/>
  <c r="P147" i="12"/>
  <c r="P162" i="12"/>
  <c r="P161" i="12"/>
  <c r="P160" i="12"/>
  <c r="P159" i="12"/>
  <c r="P158" i="12"/>
  <c r="P157" i="12"/>
  <c r="P156" i="12"/>
  <c r="P155" i="12"/>
  <c r="P154" i="12"/>
  <c r="P153" i="12"/>
  <c r="P152" i="12"/>
  <c r="P151" i="12"/>
  <c r="P150" i="12"/>
  <c r="P149" i="12"/>
  <c r="P148" i="12"/>
  <c r="P122" i="12"/>
  <c r="P121" i="12"/>
  <c r="P120" i="12"/>
  <c r="P119" i="12"/>
  <c r="P127" i="12"/>
  <c r="P97" i="12"/>
  <c r="P96" i="12"/>
  <c r="P95" i="12"/>
  <c r="P94" i="12"/>
  <c r="P93" i="12"/>
  <c r="P92" i="12"/>
  <c r="P91" i="12"/>
  <c r="P90" i="12"/>
  <c r="P89" i="12"/>
  <c r="P88" i="12"/>
  <c r="P87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62" i="12"/>
  <c r="P61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118" i="12"/>
  <c r="P140" i="12"/>
  <c r="P139" i="12"/>
  <c r="P138" i="12"/>
  <c r="P137" i="12"/>
  <c r="P136" i="12"/>
  <c r="P113" i="12"/>
  <c r="P112" i="12"/>
  <c r="P111" i="12"/>
  <c r="P110" i="12"/>
  <c r="P109" i="12"/>
  <c r="P108" i="12"/>
  <c r="P107" i="12"/>
  <c r="P106" i="12"/>
  <c r="P105" i="12"/>
  <c r="P104" i="12"/>
  <c r="P103" i="12"/>
  <c r="P102" i="12"/>
  <c r="P116" i="13"/>
  <c r="P115" i="13"/>
  <c r="P114" i="13"/>
  <c r="P113" i="13"/>
  <c r="P112" i="13"/>
  <c r="P111" i="13"/>
  <c r="P110" i="13"/>
  <c r="P109" i="13"/>
  <c r="P108" i="13"/>
  <c r="P93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71" i="13"/>
  <c r="P70" i="13"/>
  <c r="P69" i="13"/>
  <c r="P88" i="13"/>
  <c r="P49" i="13"/>
  <c r="P48" i="13"/>
  <c r="P47" i="13"/>
  <c r="P46" i="13"/>
  <c r="P64" i="13"/>
  <c r="P63" i="13"/>
  <c r="P62" i="13"/>
  <c r="P61" i="13"/>
  <c r="P60" i="13"/>
  <c r="P59" i="13"/>
  <c r="P58" i="13"/>
  <c r="P23" i="13"/>
  <c r="P22" i="13"/>
  <c r="P21" i="13"/>
  <c r="P20" i="13"/>
  <c r="P19" i="13"/>
  <c r="P18" i="13"/>
  <c r="P9" i="13"/>
  <c r="P8" i="13"/>
  <c r="P7" i="13"/>
  <c r="P6" i="13"/>
  <c r="P5" i="13"/>
  <c r="L21" i="4"/>
  <c r="P191" i="4"/>
  <c r="P190" i="4"/>
  <c r="P189" i="4"/>
  <c r="P149" i="4"/>
  <c r="P188" i="4"/>
  <c r="P187" i="4"/>
  <c r="P158" i="4"/>
  <c r="P148" i="4"/>
  <c r="P17" i="4"/>
  <c r="P117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186" i="4"/>
  <c r="P185" i="4"/>
  <c r="P66" i="4"/>
  <c r="P184" i="4"/>
  <c r="P16" i="4"/>
  <c r="P137" i="4"/>
  <c r="P136" i="4"/>
  <c r="P135" i="4"/>
  <c r="P134" i="4"/>
  <c r="P133" i="4"/>
  <c r="P132" i="4"/>
  <c r="P131" i="4"/>
  <c r="P130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183" i="4"/>
  <c r="P182" i="4"/>
  <c r="P65" i="4"/>
  <c r="P64" i="4"/>
  <c r="P63" i="4"/>
  <c r="P62" i="4"/>
  <c r="P181" i="4"/>
  <c r="P180" i="4"/>
  <c r="P61" i="4"/>
  <c r="P60" i="4"/>
  <c r="P59" i="4"/>
  <c r="P58" i="4"/>
  <c r="P57" i="4"/>
  <c r="P56" i="4"/>
  <c r="P179" i="4"/>
  <c r="P178" i="4"/>
  <c r="P177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176" i="4"/>
  <c r="P175" i="4"/>
  <c r="P174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147" i="4"/>
  <c r="P146" i="4"/>
  <c r="P145" i="4"/>
  <c r="P144" i="4"/>
  <c r="P143" i="4"/>
  <c r="P142" i="4"/>
  <c r="P157" i="4"/>
  <c r="P156" i="4"/>
  <c r="P155" i="4"/>
  <c r="P154" i="4"/>
  <c r="P25" i="4"/>
  <c r="P173" i="4"/>
  <c r="P172" i="4"/>
  <c r="P171" i="4"/>
  <c r="P170" i="4"/>
  <c r="P169" i="4"/>
  <c r="P168" i="4"/>
  <c r="P167" i="4"/>
  <c r="P77" i="3"/>
  <c r="P93" i="3"/>
  <c r="P92" i="3"/>
  <c r="P91" i="3"/>
  <c r="P90" i="3"/>
  <c r="P89" i="3"/>
  <c r="P88" i="3"/>
  <c r="P87" i="3"/>
  <c r="P86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85" i="3"/>
  <c r="P84" i="3"/>
  <c r="P83" i="3"/>
  <c r="P82" i="3"/>
  <c r="P68" i="3"/>
  <c r="P67" i="3"/>
  <c r="P66" i="3"/>
  <c r="P65" i="3"/>
  <c r="P64" i="3"/>
  <c r="P63" i="3"/>
  <c r="P62" i="3"/>
  <c r="P61" i="3"/>
  <c r="P60" i="3"/>
  <c r="P59" i="3"/>
  <c r="P58" i="3"/>
  <c r="P53" i="3"/>
  <c r="P25" i="3"/>
  <c r="P24" i="3"/>
  <c r="P23" i="3"/>
  <c r="P22" i="3"/>
  <c r="P21" i="3"/>
  <c r="P12" i="3"/>
  <c r="P11" i="3"/>
  <c r="P10" i="3"/>
  <c r="P9" i="3"/>
  <c r="P8" i="3"/>
  <c r="P131" i="15"/>
  <c r="P130" i="15"/>
  <c r="P129" i="15"/>
  <c r="P128" i="15"/>
  <c r="P127" i="15"/>
  <c r="P126" i="15"/>
  <c r="P125" i="15"/>
  <c r="P124" i="15"/>
  <c r="P123" i="15"/>
  <c r="P122" i="15"/>
  <c r="P121" i="15"/>
  <c r="P120" i="15"/>
  <c r="P119" i="15"/>
  <c r="P118" i="15"/>
  <c r="P117" i="15"/>
  <c r="P116" i="15"/>
  <c r="P115" i="15"/>
  <c r="P114" i="15"/>
  <c r="P113" i="15"/>
  <c r="P112" i="15"/>
  <c r="P111" i="15"/>
  <c r="P110" i="15"/>
  <c r="P109" i="15"/>
  <c r="P108" i="15"/>
  <c r="P107" i="15"/>
  <c r="P106" i="15"/>
  <c r="P105" i="15"/>
  <c r="P104" i="15"/>
  <c r="P103" i="15"/>
  <c r="P102" i="15"/>
  <c r="P101" i="15"/>
  <c r="P100" i="15"/>
  <c r="P99" i="15"/>
  <c r="P98" i="15"/>
  <c r="P97" i="15"/>
  <c r="P96" i="15"/>
  <c r="P95" i="15"/>
  <c r="P94" i="15"/>
  <c r="P93" i="15"/>
  <c r="P92" i="15"/>
  <c r="P91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P7" i="15"/>
  <c r="P6" i="15"/>
  <c r="P5" i="15"/>
  <c r="P4" i="15"/>
  <c r="P3" i="15"/>
  <c r="P52" i="14" l="1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G54" i="2" l="1"/>
  <c r="H54" i="2" l="1"/>
  <c r="C144" i="5" l="1"/>
  <c r="C153" i="5"/>
  <c r="F74" i="5"/>
  <c r="T95" i="3" l="1"/>
  <c r="S95" i="3"/>
  <c r="T79" i="3"/>
  <c r="S79" i="3"/>
  <c r="T70" i="3"/>
  <c r="S70" i="3"/>
  <c r="T14" i="3"/>
  <c r="S14" i="3"/>
  <c r="D65" i="5" l="1"/>
  <c r="C65" i="5"/>
  <c r="L103" i="13" l="1"/>
  <c r="L99" i="13"/>
  <c r="C147" i="5" s="1"/>
  <c r="C8" i="21" l="1"/>
  <c r="C31" i="21" l="1"/>
  <c r="C30" i="21"/>
  <c r="F45" i="20" l="1"/>
  <c r="D45" i="20"/>
  <c r="E91" i="5" l="1"/>
  <c r="C91" i="5"/>
  <c r="E90" i="5"/>
  <c r="C90" i="5"/>
  <c r="E22" i="2"/>
  <c r="E21" i="2"/>
  <c r="E20" i="2"/>
  <c r="D84" i="5"/>
  <c r="H21" i="2" s="1"/>
  <c r="D88" i="5"/>
  <c r="D86" i="5"/>
  <c r="D81" i="5"/>
  <c r="D90" i="5" s="1"/>
  <c r="D79" i="5"/>
  <c r="D80" i="5"/>
  <c r="D78" i="5"/>
  <c r="D38" i="9" l="1"/>
  <c r="C145" i="5"/>
  <c r="H9" i="2" l="1"/>
  <c r="G9" i="2" l="1"/>
  <c r="G36" i="1" l="1"/>
  <c r="G30" i="1"/>
  <c r="F36" i="1"/>
  <c r="F30" i="1"/>
  <c r="E36" i="1"/>
  <c r="E30" i="1"/>
  <c r="H54" i="7"/>
  <c r="G54" i="7"/>
  <c r="H43" i="7"/>
  <c r="I36" i="1" s="1"/>
  <c r="G43" i="7"/>
  <c r="I30" i="1" s="1"/>
  <c r="H32" i="7"/>
  <c r="G32" i="7"/>
  <c r="H11" i="7"/>
  <c r="H36" i="1" s="1"/>
  <c r="G11" i="7"/>
  <c r="H40" i="6"/>
  <c r="G40" i="6"/>
  <c r="H30" i="6"/>
  <c r="G30" i="6"/>
  <c r="H30" i="1" l="1"/>
  <c r="D163" i="5"/>
  <c r="E15" i="2"/>
  <c r="E14" i="2"/>
  <c r="E13" i="2"/>
  <c r="E12" i="2"/>
  <c r="E11" i="2"/>
  <c r="C158" i="5"/>
  <c r="E10" i="2"/>
  <c r="C44" i="5"/>
  <c r="E9" i="2"/>
  <c r="E8" i="2"/>
  <c r="E6" i="2"/>
  <c r="E38" i="1"/>
  <c r="E37" i="1"/>
  <c r="E35" i="1"/>
  <c r="E34" i="1"/>
  <c r="E33" i="1"/>
  <c r="E32" i="1"/>
  <c r="E28" i="1"/>
  <c r="E26" i="1"/>
  <c r="E24" i="1"/>
  <c r="E23" i="1"/>
  <c r="E22" i="1"/>
  <c r="E21" i="1"/>
  <c r="E16" i="1"/>
  <c r="E15" i="1"/>
  <c r="U124" i="12" l="1"/>
  <c r="U58" i="12"/>
  <c r="U20" i="12"/>
  <c r="U73" i="13"/>
  <c r="U66" i="13"/>
  <c r="U55" i="13"/>
  <c r="U51" i="13"/>
  <c r="M41" i="5" l="1"/>
  <c r="H41" i="5" s="1"/>
  <c r="M40" i="5"/>
  <c r="H40" i="5" s="1"/>
  <c r="D33" i="18" l="1"/>
  <c r="D27" i="18"/>
  <c r="D21" i="18"/>
  <c r="C186" i="5" l="1"/>
  <c r="C185" i="5"/>
  <c r="D121" i="5" l="1"/>
  <c r="D37" i="9" s="1"/>
  <c r="R73" i="13"/>
  <c r="Q73" i="13"/>
  <c r="R66" i="13"/>
  <c r="Q66" i="13"/>
  <c r="R55" i="13"/>
  <c r="Q55" i="13"/>
  <c r="R51" i="13"/>
  <c r="Q51" i="13"/>
  <c r="R25" i="13"/>
  <c r="Q25" i="13"/>
  <c r="F50" i="20"/>
  <c r="D127" i="5" s="1"/>
  <c r="D50" i="20"/>
  <c r="C127" i="5" s="1"/>
  <c r="R124" i="12"/>
  <c r="Q124" i="12"/>
  <c r="R99" i="12"/>
  <c r="Q99" i="12"/>
  <c r="R64" i="12"/>
  <c r="Q64" i="12"/>
  <c r="R58" i="12"/>
  <c r="Q58" i="12"/>
  <c r="R20" i="12"/>
  <c r="Q20" i="12"/>
  <c r="F25" i="20"/>
  <c r="D125" i="5" s="1"/>
  <c r="D25" i="20"/>
  <c r="C125" i="5" s="1"/>
  <c r="H57" i="1" l="1"/>
  <c r="I57" i="1"/>
  <c r="P99" i="3" l="1"/>
  <c r="O99" i="3"/>
  <c r="I85" i="1" s="1"/>
  <c r="N99" i="3"/>
  <c r="H85" i="1" s="1"/>
  <c r="M99" i="3"/>
  <c r="G85" i="1" s="1"/>
  <c r="L99" i="3"/>
  <c r="F85" i="1" s="1"/>
  <c r="K99" i="3"/>
  <c r="E85" i="1" s="1"/>
  <c r="I131" i="5" l="1"/>
  <c r="I130" i="5"/>
  <c r="C7" i="21" l="1"/>
  <c r="J131" i="5"/>
  <c r="J130" i="5"/>
  <c r="F39" i="20" l="1"/>
  <c r="F38" i="20"/>
  <c r="F37" i="20"/>
  <c r="F36" i="20"/>
  <c r="F35" i="20"/>
  <c r="F14" i="20"/>
  <c r="F13" i="20"/>
  <c r="F12" i="20"/>
  <c r="F41" i="20" l="1"/>
  <c r="F16" i="20"/>
  <c r="E71" i="5" l="1"/>
  <c r="C4" i="21" s="1"/>
  <c r="C71" i="5"/>
  <c r="R95" i="3" l="1"/>
  <c r="Q95" i="3"/>
  <c r="R70" i="3"/>
  <c r="Q70" i="3"/>
  <c r="R14" i="3"/>
  <c r="Q14" i="3"/>
  <c r="D70" i="5"/>
  <c r="D69" i="5"/>
  <c r="D68" i="5"/>
  <c r="D71" i="5" l="1"/>
  <c r="D36" i="9" s="1"/>
  <c r="C143" i="5" l="1"/>
  <c r="D164" i="5" l="1"/>
  <c r="I9" i="2" l="1"/>
  <c r="C126" i="5"/>
  <c r="E63" i="2"/>
  <c r="G118" i="5" l="1"/>
  <c r="F118" i="5"/>
  <c r="E118" i="5"/>
  <c r="G51" i="1" s="1"/>
  <c r="D118" i="5"/>
  <c r="F51" i="1" s="1"/>
  <c r="C118" i="5"/>
  <c r="E51" i="1" s="1"/>
  <c r="H117" i="5"/>
  <c r="H116" i="5"/>
  <c r="H113" i="5"/>
  <c r="H112" i="5"/>
  <c r="H109" i="5"/>
  <c r="H108" i="5"/>
  <c r="H107" i="5"/>
  <c r="H106" i="5"/>
  <c r="H105" i="5"/>
  <c r="J15" i="2"/>
  <c r="K15" i="2"/>
  <c r="K14" i="2"/>
  <c r="J12" i="2"/>
  <c r="K12" i="2"/>
  <c r="I7" i="2"/>
  <c r="G7" i="2"/>
  <c r="H51" i="1" l="1"/>
  <c r="I51" i="1"/>
  <c r="H118" i="5"/>
  <c r="H110" i="5"/>
  <c r="K69" i="2"/>
  <c r="K68" i="2"/>
  <c r="K67" i="2"/>
  <c r="K66" i="2"/>
  <c r="K65" i="2"/>
  <c r="K64" i="2"/>
  <c r="K63" i="2"/>
  <c r="K56" i="2"/>
  <c r="K26" i="2"/>
  <c r="K13" i="2"/>
  <c r="K11" i="2"/>
  <c r="K8" i="2"/>
  <c r="K6" i="2"/>
  <c r="K27" i="2"/>
  <c r="K87" i="1"/>
  <c r="K86" i="1"/>
  <c r="K85" i="1"/>
  <c r="K84" i="1"/>
  <c r="K78" i="1"/>
  <c r="K79" i="1" s="1"/>
  <c r="K77" i="1"/>
  <c r="K51" i="1"/>
  <c r="K50" i="1"/>
  <c r="K49" i="1"/>
  <c r="K48" i="1"/>
  <c r="K47" i="1"/>
  <c r="K45" i="1"/>
  <c r="K38" i="1"/>
  <c r="K37" i="1"/>
  <c r="K36" i="1"/>
  <c r="K35" i="1"/>
  <c r="K34" i="1"/>
  <c r="K33" i="1"/>
  <c r="K32" i="1"/>
  <c r="K31" i="1"/>
  <c r="K30" i="1"/>
  <c r="K29" i="1"/>
  <c r="K27" i="1"/>
  <c r="K28" i="1"/>
  <c r="K26" i="1"/>
  <c r="K24" i="1"/>
  <c r="K23" i="1"/>
  <c r="K22" i="1"/>
  <c r="K21" i="1"/>
  <c r="K16" i="1"/>
  <c r="K15" i="1"/>
  <c r="K14" i="1"/>
  <c r="K13" i="1"/>
  <c r="K12" i="1"/>
  <c r="K11" i="1"/>
  <c r="K10" i="1"/>
  <c r="K5" i="1"/>
  <c r="K7" i="1"/>
  <c r="K17" i="1" l="1"/>
  <c r="K70" i="2"/>
  <c r="K46" i="1"/>
  <c r="K25" i="1"/>
  <c r="K20" i="1"/>
  <c r="Q115" i="12"/>
  <c r="K39" i="1" l="1"/>
  <c r="I63" i="2"/>
  <c r="G55" i="2" l="1"/>
  <c r="I27" i="2" l="1"/>
  <c r="H27" i="2"/>
  <c r="G27" i="2"/>
  <c r="F27" i="2"/>
  <c r="E27" i="2"/>
  <c r="G94" i="1"/>
  <c r="F94" i="1"/>
  <c r="I79" i="1"/>
  <c r="H79" i="1"/>
  <c r="G79" i="1"/>
  <c r="F79" i="1"/>
  <c r="G58" i="1"/>
  <c r="F58" i="1"/>
  <c r="J7" i="1"/>
  <c r="I7" i="1"/>
  <c r="H7" i="1"/>
  <c r="G7" i="1"/>
  <c r="F7" i="1"/>
  <c r="E7" i="1"/>
  <c r="H53" i="2" l="1"/>
  <c r="I82" i="1"/>
  <c r="I88" i="1" s="1"/>
  <c r="H82" i="1"/>
  <c r="H88" i="1" s="1"/>
  <c r="I46" i="1"/>
  <c r="H46" i="1"/>
  <c r="G46" i="1"/>
  <c r="F46" i="1"/>
  <c r="E46" i="1"/>
  <c r="E25" i="1" l="1"/>
  <c r="E55" i="2" l="1"/>
  <c r="K55" i="2" s="1"/>
  <c r="K10" i="2" l="1"/>
  <c r="G53" i="2" l="1"/>
  <c r="G52" i="2" s="1"/>
  <c r="G58" i="2" s="1"/>
  <c r="D126" i="5" l="1"/>
  <c r="R115" i="12" s="1"/>
  <c r="H63" i="2"/>
  <c r="I55" i="2" l="1"/>
  <c r="E41" i="5"/>
  <c r="F55" i="2" s="1"/>
  <c r="D89" i="5"/>
  <c r="D85" i="5"/>
  <c r="D83" i="5"/>
  <c r="H22" i="2" l="1"/>
  <c r="D91" i="5"/>
  <c r="C146" i="5" s="1"/>
  <c r="H114" i="5"/>
  <c r="D39" i="9" l="1"/>
  <c r="I70" i="2"/>
  <c r="H70" i="2"/>
  <c r="G70" i="2"/>
  <c r="C160" i="5" l="1"/>
  <c r="E40" i="5" l="1"/>
  <c r="F54" i="2" l="1"/>
  <c r="F53" i="2" s="1"/>
  <c r="F52" i="2" s="1"/>
  <c r="F58" i="2" s="1"/>
  <c r="R43" i="13"/>
  <c r="B16" i="19" l="1"/>
  <c r="B13" i="19"/>
  <c r="F9" i="2" l="1"/>
  <c r="F7" i="2" s="1"/>
  <c r="I24" i="2" l="1"/>
  <c r="G24" i="2"/>
  <c r="F24" i="2"/>
  <c r="B37" i="17" l="1"/>
  <c r="D15" i="18" l="1"/>
  <c r="D9" i="18"/>
  <c r="I52" i="7" l="1"/>
  <c r="T31" i="7"/>
  <c r="T29" i="6" l="1"/>
  <c r="D5" i="16"/>
  <c r="I27" i="6" s="1"/>
  <c r="B5" i="16"/>
  <c r="F3" i="16"/>
  <c r="F5" i="16" l="1"/>
  <c r="P134" i="15" l="1"/>
  <c r="O134" i="15"/>
  <c r="C142" i="5" s="1"/>
  <c r="N134" i="15"/>
  <c r="M134" i="15"/>
  <c r="E58" i="5" s="1"/>
  <c r="L134" i="15"/>
  <c r="K134" i="15"/>
  <c r="O55" i="14"/>
  <c r="C152" i="5" s="1"/>
  <c r="N55" i="14"/>
  <c r="C141" i="5" s="1"/>
  <c r="M55" i="14"/>
  <c r="D58" i="5" s="1"/>
  <c r="L55" i="14"/>
  <c r="K55" i="14"/>
  <c r="P55" i="14"/>
  <c r="F58" i="5" l="1"/>
  <c r="D70" i="9"/>
  <c r="B9" i="19" s="1"/>
  <c r="D66" i="9"/>
  <c r="B5" i="19" s="1"/>
  <c r="L95" i="13"/>
  <c r="D67" i="9" s="1"/>
  <c r="B6" i="19" s="1"/>
  <c r="L90" i="13"/>
  <c r="D50" i="9" s="1"/>
  <c r="L85" i="13"/>
  <c r="D49" i="9" s="1"/>
  <c r="L81" i="13"/>
  <c r="D48" i="9" s="1"/>
  <c r="L77" i="13"/>
  <c r="D47" i="9" s="1"/>
  <c r="L73" i="13"/>
  <c r="D20" i="9" s="1"/>
  <c r="L66" i="13"/>
  <c r="D16" i="9" s="1"/>
  <c r="L55" i="13"/>
  <c r="D15" i="9" s="1"/>
  <c r="L51" i="13"/>
  <c r="D14" i="9" s="1"/>
  <c r="L43" i="13"/>
  <c r="L25" i="13"/>
  <c r="D10" i="9" s="1"/>
  <c r="L15" i="13"/>
  <c r="L11" i="13"/>
  <c r="L142" i="12"/>
  <c r="L133" i="12"/>
  <c r="L129" i="12"/>
  <c r="L124" i="12"/>
  <c r="D40" i="9" s="1"/>
  <c r="L115" i="12"/>
  <c r="D31" i="9" s="1"/>
  <c r="L99" i="12"/>
  <c r="D28" i="9" s="1"/>
  <c r="L64" i="12"/>
  <c r="D26" i="9" s="1"/>
  <c r="L58" i="12"/>
  <c r="D25" i="9" s="1"/>
  <c r="L20" i="12"/>
  <c r="D24" i="9" s="1"/>
  <c r="D12" i="9" l="1"/>
  <c r="D8" i="9"/>
  <c r="D7" i="9"/>
  <c r="D82" i="9" l="1"/>
  <c r="C151" i="5"/>
  <c r="C150" i="5" s="1"/>
  <c r="D74" i="9" s="1"/>
  <c r="B14" i="19" s="1"/>
  <c r="D54" i="9"/>
  <c r="E72" i="9" l="1"/>
  <c r="E77" i="9" s="1"/>
  <c r="E65" i="9"/>
  <c r="E71" i="9" s="1"/>
  <c r="E63" i="9"/>
  <c r="E53" i="9"/>
  <c r="E56" i="9" s="1"/>
  <c r="D53" i="9"/>
  <c r="D56" i="9" s="1"/>
  <c r="E46" i="9"/>
  <c r="E51" i="9" s="1"/>
  <c r="D46" i="9"/>
  <c r="D51" i="9" s="1"/>
  <c r="E32" i="9"/>
  <c r="E27" i="9"/>
  <c r="D27" i="9"/>
  <c r="E13" i="9"/>
  <c r="D13" i="9"/>
  <c r="E9" i="9"/>
  <c r="D11" i="9" l="1"/>
  <c r="D9" i="9" s="1"/>
  <c r="D21" i="9" s="1"/>
  <c r="I54" i="2"/>
  <c r="I53" i="2" s="1"/>
  <c r="D58" i="9"/>
  <c r="E21" i="9"/>
  <c r="E41" i="9"/>
  <c r="E58" i="9"/>
  <c r="E79" i="9"/>
  <c r="E54" i="2"/>
  <c r="I57" i="2"/>
  <c r="H57" i="2"/>
  <c r="H52" i="2" s="1"/>
  <c r="I51" i="2"/>
  <c r="H51" i="2"/>
  <c r="E51" i="2"/>
  <c r="K51" i="2" s="1"/>
  <c r="H20" i="2"/>
  <c r="K22" i="2"/>
  <c r="K21" i="2"/>
  <c r="K20" i="2"/>
  <c r="E7" i="2"/>
  <c r="I93" i="1"/>
  <c r="H93" i="1"/>
  <c r="I92" i="1"/>
  <c r="H92" i="1"/>
  <c r="P193" i="4"/>
  <c r="O193" i="4"/>
  <c r="I47" i="2" s="1"/>
  <c r="N193" i="4"/>
  <c r="H47" i="2" s="1"/>
  <c r="M193" i="4"/>
  <c r="G47" i="2" s="1"/>
  <c r="L193" i="4"/>
  <c r="F47" i="2" s="1"/>
  <c r="P164" i="4"/>
  <c r="O164" i="4"/>
  <c r="I46" i="2" s="1"/>
  <c r="N164" i="4"/>
  <c r="H46" i="2" s="1"/>
  <c r="M164" i="4"/>
  <c r="G46" i="2" s="1"/>
  <c r="L164" i="4"/>
  <c r="F46" i="2" s="1"/>
  <c r="P160" i="4"/>
  <c r="O160" i="4"/>
  <c r="I45" i="2" s="1"/>
  <c r="N160" i="4"/>
  <c r="H45" i="2" s="1"/>
  <c r="M160" i="4"/>
  <c r="G45" i="2" s="1"/>
  <c r="L160" i="4"/>
  <c r="F45" i="2" s="1"/>
  <c r="P151" i="4"/>
  <c r="O151" i="4"/>
  <c r="I44" i="2" s="1"/>
  <c r="N151" i="4"/>
  <c r="H44" i="2" s="1"/>
  <c r="M151" i="4"/>
  <c r="G44" i="2" s="1"/>
  <c r="L151" i="4"/>
  <c r="F44" i="2" s="1"/>
  <c r="P139" i="4"/>
  <c r="O139" i="4"/>
  <c r="I42" i="2" s="1"/>
  <c r="N139" i="4"/>
  <c r="H42" i="2" s="1"/>
  <c r="M139" i="4"/>
  <c r="G42" i="2" s="1"/>
  <c r="L139" i="4"/>
  <c r="F42" i="2" s="1"/>
  <c r="P127" i="4"/>
  <c r="O127" i="4"/>
  <c r="I41" i="2" s="1"/>
  <c r="N127" i="4"/>
  <c r="H41" i="2" s="1"/>
  <c r="M127" i="4"/>
  <c r="G41" i="2" s="1"/>
  <c r="L127" i="4"/>
  <c r="F41" i="2" s="1"/>
  <c r="P123" i="4"/>
  <c r="O123" i="4"/>
  <c r="I40" i="2" s="1"/>
  <c r="N123" i="4"/>
  <c r="H40" i="2" s="1"/>
  <c r="M123" i="4"/>
  <c r="G40" i="2" s="1"/>
  <c r="L123" i="4"/>
  <c r="F40" i="2" s="1"/>
  <c r="P119" i="4"/>
  <c r="O119" i="4"/>
  <c r="I39" i="2" s="1"/>
  <c r="N119" i="4"/>
  <c r="H39" i="2" s="1"/>
  <c r="M119" i="4"/>
  <c r="G39" i="2" s="1"/>
  <c r="L119" i="4"/>
  <c r="F39" i="2" s="1"/>
  <c r="P91" i="4"/>
  <c r="O91" i="4"/>
  <c r="I38" i="2" s="1"/>
  <c r="N91" i="4"/>
  <c r="H38" i="2" s="1"/>
  <c r="M91" i="4"/>
  <c r="G38" i="2" s="1"/>
  <c r="L91" i="4"/>
  <c r="F38" i="2" s="1"/>
  <c r="P87" i="4"/>
  <c r="O87" i="4"/>
  <c r="I36" i="2" s="1"/>
  <c r="N87" i="4"/>
  <c r="H36" i="2" s="1"/>
  <c r="M87" i="4"/>
  <c r="G36" i="2" s="1"/>
  <c r="L87" i="4"/>
  <c r="F36" i="2" s="1"/>
  <c r="P83" i="4"/>
  <c r="O83" i="4"/>
  <c r="I35" i="2" s="1"/>
  <c r="N83" i="4"/>
  <c r="H35" i="2" s="1"/>
  <c r="M83" i="4"/>
  <c r="G35" i="2" s="1"/>
  <c r="L83" i="4"/>
  <c r="F35" i="2" s="1"/>
  <c r="P19" i="4"/>
  <c r="O19" i="4"/>
  <c r="I34" i="2" s="1"/>
  <c r="N19" i="4"/>
  <c r="H34" i="2" s="1"/>
  <c r="M19" i="4"/>
  <c r="G34" i="2" s="1"/>
  <c r="L19" i="4"/>
  <c r="F34" i="2" s="1"/>
  <c r="P13" i="4"/>
  <c r="O13" i="4"/>
  <c r="I33" i="2" s="1"/>
  <c r="N13" i="4"/>
  <c r="H33" i="2" s="1"/>
  <c r="M13" i="4"/>
  <c r="G33" i="2" s="1"/>
  <c r="L13" i="4"/>
  <c r="F33" i="2" s="1"/>
  <c r="P9" i="4"/>
  <c r="O9" i="4"/>
  <c r="I32" i="2" s="1"/>
  <c r="N9" i="4"/>
  <c r="H32" i="2" s="1"/>
  <c r="M9" i="4"/>
  <c r="G32" i="2" s="1"/>
  <c r="L9" i="4"/>
  <c r="F32" i="2" s="1"/>
  <c r="P5" i="4"/>
  <c r="O5" i="4"/>
  <c r="I31" i="2" s="1"/>
  <c r="N5" i="4"/>
  <c r="H31" i="2" s="1"/>
  <c r="M5" i="4"/>
  <c r="G31" i="2" s="1"/>
  <c r="L5" i="4"/>
  <c r="F31" i="2" s="1"/>
  <c r="G83" i="1"/>
  <c r="G82" i="1" s="1"/>
  <c r="G88" i="1" s="1"/>
  <c r="E83" i="1"/>
  <c r="I58" i="1"/>
  <c r="H58" i="1"/>
  <c r="E57" i="1"/>
  <c r="K57" i="1" s="1"/>
  <c r="K58" i="1" s="1"/>
  <c r="E114" i="5"/>
  <c r="G43" i="1" s="1"/>
  <c r="E110" i="5"/>
  <c r="G44" i="1" s="1"/>
  <c r="G42" i="1" l="1"/>
  <c r="G52" i="1" s="1"/>
  <c r="E82" i="1"/>
  <c r="E88" i="1" s="1"/>
  <c r="K83" i="1"/>
  <c r="K82" i="1" s="1"/>
  <c r="K88" i="1" s="1"/>
  <c r="K24" i="2"/>
  <c r="H94" i="1"/>
  <c r="I94" i="1"/>
  <c r="G30" i="2"/>
  <c r="I37" i="2"/>
  <c r="H43" i="2"/>
  <c r="K9" i="2"/>
  <c r="K7" i="2" s="1"/>
  <c r="E53" i="2"/>
  <c r="K54" i="2"/>
  <c r="K53" i="2" s="1"/>
  <c r="H30" i="2"/>
  <c r="F37" i="2"/>
  <c r="I43" i="2"/>
  <c r="I30" i="2"/>
  <c r="G37" i="2"/>
  <c r="F43" i="2"/>
  <c r="H24" i="2"/>
  <c r="H37" i="2"/>
  <c r="G43" i="2"/>
  <c r="H58" i="2"/>
  <c r="F30" i="2"/>
  <c r="I52" i="2"/>
  <c r="I58" i="2" s="1"/>
  <c r="E24" i="2"/>
  <c r="E42" i="9"/>
  <c r="E80" i="9" s="1"/>
  <c r="E83" i="9" s="1"/>
  <c r="F48" i="2" l="1"/>
  <c r="G48" i="2"/>
  <c r="I48" i="2"/>
  <c r="H48" i="2"/>
  <c r="I26" i="1"/>
  <c r="I21" i="1"/>
  <c r="Q54" i="7"/>
  <c r="P54" i="7"/>
  <c r="O54" i="7"/>
  <c r="N54" i="7"/>
  <c r="M54" i="7"/>
  <c r="L54" i="7"/>
  <c r="J54" i="7"/>
  <c r="F54" i="7"/>
  <c r="E54" i="7"/>
  <c r="D54" i="7"/>
  <c r="C54" i="7"/>
  <c r="B54" i="7"/>
  <c r="A54" i="7"/>
  <c r="P43" i="7"/>
  <c r="I37" i="1" s="1"/>
  <c r="O43" i="7"/>
  <c r="I35" i="1" s="1"/>
  <c r="N43" i="7"/>
  <c r="I34" i="1" s="1"/>
  <c r="M43" i="7"/>
  <c r="I33" i="1" s="1"/>
  <c r="L43" i="7"/>
  <c r="I32" i="1" s="1"/>
  <c r="J43" i="7"/>
  <c r="F43" i="7"/>
  <c r="I28" i="1" s="1"/>
  <c r="E43" i="7"/>
  <c r="D43" i="7"/>
  <c r="I24" i="1" s="1"/>
  <c r="C43" i="7"/>
  <c r="I23" i="1" s="1"/>
  <c r="B43" i="7"/>
  <c r="I22" i="1" s="1"/>
  <c r="A43" i="7"/>
  <c r="R32" i="7"/>
  <c r="R52" i="7" s="1"/>
  <c r="Q32" i="7"/>
  <c r="P32" i="7"/>
  <c r="O32" i="7"/>
  <c r="N32" i="7"/>
  <c r="B19" i="17" s="1"/>
  <c r="M32" i="7"/>
  <c r="B13" i="17" s="1"/>
  <c r="B15" i="17" s="1"/>
  <c r="L32" i="7"/>
  <c r="K32" i="7"/>
  <c r="J32" i="7"/>
  <c r="I32" i="7"/>
  <c r="E32" i="7"/>
  <c r="D32" i="7"/>
  <c r="B32" i="7"/>
  <c r="A32" i="7"/>
  <c r="F32" i="7"/>
  <c r="C32" i="7"/>
  <c r="B9" i="17" s="1"/>
  <c r="R11" i="7"/>
  <c r="Q11" i="7"/>
  <c r="P11" i="7"/>
  <c r="O11" i="7"/>
  <c r="N11" i="7"/>
  <c r="M11" i="7"/>
  <c r="L11" i="7"/>
  <c r="K11" i="7"/>
  <c r="J11" i="7"/>
  <c r="I11" i="7"/>
  <c r="H38" i="1" s="1"/>
  <c r="F11" i="7"/>
  <c r="E11" i="7"/>
  <c r="D11" i="7"/>
  <c r="C11" i="7"/>
  <c r="B11" i="7"/>
  <c r="A11" i="7"/>
  <c r="R40" i="6"/>
  <c r="Q40" i="6"/>
  <c r="P40" i="6"/>
  <c r="G37" i="1" s="1"/>
  <c r="O40" i="6"/>
  <c r="G35" i="1" s="1"/>
  <c r="N40" i="6"/>
  <c r="G34" i="1" s="1"/>
  <c r="M40" i="6"/>
  <c r="G33" i="1" s="1"/>
  <c r="L40" i="6"/>
  <c r="G32" i="1" s="1"/>
  <c r="K40" i="6"/>
  <c r="G15" i="1" s="1"/>
  <c r="J40" i="6"/>
  <c r="G16" i="1" s="1"/>
  <c r="I40" i="6"/>
  <c r="G38" i="1" s="1"/>
  <c r="F40" i="6"/>
  <c r="G28" i="1" s="1"/>
  <c r="E40" i="6"/>
  <c r="G26" i="1" s="1"/>
  <c r="D40" i="6"/>
  <c r="G24" i="1" s="1"/>
  <c r="C40" i="6"/>
  <c r="G23" i="1" s="1"/>
  <c r="B40" i="6"/>
  <c r="G22" i="1" s="1"/>
  <c r="A40" i="6"/>
  <c r="S40" i="6" s="1"/>
  <c r="R30" i="6"/>
  <c r="R51" i="7" s="1"/>
  <c r="Q30" i="6"/>
  <c r="P30" i="6"/>
  <c r="F37" i="1" s="1"/>
  <c r="O30" i="6"/>
  <c r="F35" i="1" s="1"/>
  <c r="N30" i="6"/>
  <c r="F34" i="1" s="1"/>
  <c r="M30" i="6"/>
  <c r="F33" i="1" s="1"/>
  <c r="L30" i="6"/>
  <c r="F32" i="1" s="1"/>
  <c r="K30" i="6"/>
  <c r="F15" i="1" s="1"/>
  <c r="J30" i="6"/>
  <c r="F16" i="1" s="1"/>
  <c r="I30" i="6"/>
  <c r="F30" i="6"/>
  <c r="F28" i="1" s="1"/>
  <c r="E30" i="6"/>
  <c r="F26" i="1" s="1"/>
  <c r="D30" i="6"/>
  <c r="F24" i="1" s="1"/>
  <c r="C30" i="6"/>
  <c r="F23" i="1" s="1"/>
  <c r="B30" i="6"/>
  <c r="F22" i="1" s="1"/>
  <c r="A30" i="6"/>
  <c r="F21" i="1" s="1"/>
  <c r="B11" i="17" l="1"/>
  <c r="B31" i="17"/>
  <c r="D33" i="9"/>
  <c r="H16" i="1"/>
  <c r="H17" i="1" s="1"/>
  <c r="I20" i="1"/>
  <c r="I25" i="1"/>
  <c r="H15" i="1"/>
  <c r="I16" i="1"/>
  <c r="H34" i="1"/>
  <c r="H21" i="1"/>
  <c r="H24" i="1"/>
  <c r="H33" i="1"/>
  <c r="H37" i="1"/>
  <c r="H35" i="1"/>
  <c r="H32" i="1"/>
  <c r="B5" i="17"/>
  <c r="B7" i="17" s="1"/>
  <c r="K54" i="7"/>
  <c r="I15" i="1" s="1"/>
  <c r="H28" i="1"/>
  <c r="H26" i="1"/>
  <c r="H23" i="1"/>
  <c r="H22" i="1"/>
  <c r="F20" i="1"/>
  <c r="G25" i="1"/>
  <c r="F25" i="1"/>
  <c r="F17" i="1"/>
  <c r="R54" i="7"/>
  <c r="B36" i="17" s="1"/>
  <c r="G21" i="1"/>
  <c r="G20" i="1" s="1"/>
  <c r="G39" i="1" s="1"/>
  <c r="F38" i="1"/>
  <c r="G17" i="1"/>
  <c r="S30" i="6"/>
  <c r="S43" i="7"/>
  <c r="S32" i="7"/>
  <c r="I51" i="7" s="1"/>
  <c r="S11" i="7"/>
  <c r="C140" i="5" s="1"/>
  <c r="C139" i="5" s="1"/>
  <c r="D68" i="9" s="1"/>
  <c r="B7" i="19" s="1"/>
  <c r="B39" i="17" l="1"/>
  <c r="B35" i="17"/>
  <c r="I17" i="1"/>
  <c r="H20" i="1"/>
  <c r="H25" i="1"/>
  <c r="H39" i="1" s="1"/>
  <c r="B33" i="17"/>
  <c r="D34" i="9"/>
  <c r="D32" i="9" s="1"/>
  <c r="D41" i="9" s="1"/>
  <c r="D42" i="9" s="1"/>
  <c r="G54" i="1"/>
  <c r="C36" i="5" s="1"/>
  <c r="F39" i="1"/>
  <c r="I54" i="7"/>
  <c r="I38" i="1" s="1"/>
  <c r="I39" i="1" s="1"/>
  <c r="E36" i="5" l="1"/>
  <c r="D69" i="9" s="1"/>
  <c r="E37" i="5"/>
  <c r="S54" i="7"/>
  <c r="P95" i="3"/>
  <c r="O95" i="3"/>
  <c r="I73" i="1" s="1"/>
  <c r="N95" i="3"/>
  <c r="H73" i="1" s="1"/>
  <c r="M95" i="3"/>
  <c r="G73" i="1" s="1"/>
  <c r="L95" i="3"/>
  <c r="F73" i="1" s="1"/>
  <c r="P79" i="3"/>
  <c r="O79" i="3"/>
  <c r="I72" i="1" s="1"/>
  <c r="N79" i="3"/>
  <c r="H72" i="1" s="1"/>
  <c r="M79" i="3"/>
  <c r="G72" i="1" s="1"/>
  <c r="L79" i="3"/>
  <c r="F72" i="1" s="1"/>
  <c r="P74" i="3"/>
  <c r="O74" i="3"/>
  <c r="N74" i="3"/>
  <c r="H71" i="1" s="1"/>
  <c r="M74" i="3"/>
  <c r="G71" i="1" s="1"/>
  <c r="L74" i="3"/>
  <c r="F71" i="1" s="1"/>
  <c r="P70" i="3"/>
  <c r="O70" i="3"/>
  <c r="I69" i="1" s="1"/>
  <c r="N70" i="3"/>
  <c r="H69" i="1" s="1"/>
  <c r="M70" i="3"/>
  <c r="G69" i="1" s="1"/>
  <c r="L70" i="3"/>
  <c r="F69" i="1" s="1"/>
  <c r="P55" i="3"/>
  <c r="O55" i="3"/>
  <c r="I68" i="1" s="1"/>
  <c r="N55" i="3"/>
  <c r="H68" i="1" s="1"/>
  <c r="M55" i="3"/>
  <c r="G68" i="1" s="1"/>
  <c r="L55" i="3"/>
  <c r="F68" i="1" s="1"/>
  <c r="P50" i="3"/>
  <c r="O50" i="3"/>
  <c r="I67" i="1" s="1"/>
  <c r="N50" i="3"/>
  <c r="H67" i="1" s="1"/>
  <c r="M50" i="3"/>
  <c r="G67" i="1" s="1"/>
  <c r="L50" i="3"/>
  <c r="F67" i="1" s="1"/>
  <c r="P46" i="3"/>
  <c r="O46" i="3"/>
  <c r="I66" i="1" s="1"/>
  <c r="N46" i="3"/>
  <c r="H66" i="1" s="1"/>
  <c r="M46" i="3"/>
  <c r="G66" i="1" s="1"/>
  <c r="L46" i="3"/>
  <c r="F66" i="1" s="1"/>
  <c r="P42" i="3"/>
  <c r="O42" i="3"/>
  <c r="I65" i="1" s="1"/>
  <c r="I64" i="1" s="1"/>
  <c r="N42" i="3"/>
  <c r="H65" i="1" s="1"/>
  <c r="M42" i="3"/>
  <c r="G65" i="1" s="1"/>
  <c r="L42" i="3"/>
  <c r="F65" i="1" s="1"/>
  <c r="P18" i="3"/>
  <c r="O18" i="3"/>
  <c r="I63" i="1" s="1"/>
  <c r="N18" i="3"/>
  <c r="H63" i="1" s="1"/>
  <c r="M18" i="3"/>
  <c r="G63" i="1" s="1"/>
  <c r="L18" i="3"/>
  <c r="F63" i="1" s="1"/>
  <c r="P14" i="3"/>
  <c r="O14" i="3"/>
  <c r="I62" i="1" s="1"/>
  <c r="N14" i="3"/>
  <c r="H62" i="1" s="1"/>
  <c r="M14" i="3"/>
  <c r="G62" i="1" s="1"/>
  <c r="L14" i="3"/>
  <c r="F62" i="1" s="1"/>
  <c r="P5" i="3"/>
  <c r="O5" i="3"/>
  <c r="I61" i="1" s="1"/>
  <c r="I60" i="1" s="1"/>
  <c r="N5" i="3"/>
  <c r="H61" i="1" s="1"/>
  <c r="M5" i="3"/>
  <c r="F83" i="1" s="1"/>
  <c r="F82" i="1" s="1"/>
  <c r="F88" i="1" s="1"/>
  <c r="L5" i="3"/>
  <c r="F61" i="1" s="1"/>
  <c r="J56" i="2"/>
  <c r="J55" i="2"/>
  <c r="J26" i="2"/>
  <c r="J27" i="2" s="1"/>
  <c r="J22" i="2"/>
  <c r="J21" i="2"/>
  <c r="J20" i="2"/>
  <c r="J10" i="2"/>
  <c r="J8" i="2"/>
  <c r="J6" i="2"/>
  <c r="J87" i="1"/>
  <c r="J86" i="1"/>
  <c r="J85" i="1"/>
  <c r="C5" i="21" s="1"/>
  <c r="J84" i="1"/>
  <c r="J78" i="1"/>
  <c r="J77" i="1"/>
  <c r="J51" i="1"/>
  <c r="J50" i="1"/>
  <c r="J49" i="1"/>
  <c r="J48" i="1"/>
  <c r="J47" i="1"/>
  <c r="J45" i="1"/>
  <c r="J36" i="1"/>
  <c r="J31" i="1"/>
  <c r="J30" i="1"/>
  <c r="J29" i="1"/>
  <c r="J27" i="1"/>
  <c r="J15" i="1"/>
  <c r="J14" i="1"/>
  <c r="J13" i="1"/>
  <c r="J12" i="1"/>
  <c r="J11" i="1"/>
  <c r="J10" i="1"/>
  <c r="J5" i="1"/>
  <c r="I70" i="1" l="1"/>
  <c r="I74" i="1" s="1"/>
  <c r="H60" i="1"/>
  <c r="F64" i="1"/>
  <c r="H70" i="1"/>
  <c r="F60" i="1"/>
  <c r="G64" i="1"/>
  <c r="F70" i="1"/>
  <c r="H64" i="1"/>
  <c r="H74" i="1" s="1"/>
  <c r="G70" i="1"/>
  <c r="J46" i="1"/>
  <c r="B8" i="19"/>
  <c r="D65" i="9"/>
  <c r="D71" i="9" s="1"/>
  <c r="D75" i="9"/>
  <c r="J24" i="2"/>
  <c r="G61" i="1"/>
  <c r="G60" i="1" s="1"/>
  <c r="J9" i="2"/>
  <c r="J54" i="2"/>
  <c r="J53" i="2" s="1"/>
  <c r="E57" i="2"/>
  <c r="K57" i="2" s="1"/>
  <c r="K52" i="2" s="1"/>
  <c r="K58" i="2" s="1"/>
  <c r="J51" i="2"/>
  <c r="E93" i="1"/>
  <c r="E92" i="1"/>
  <c r="J57" i="1"/>
  <c r="D114" i="5"/>
  <c r="F43" i="1" s="1"/>
  <c r="C114" i="5"/>
  <c r="E43" i="1" s="1"/>
  <c r="D110" i="5"/>
  <c r="F44" i="1" s="1"/>
  <c r="C110" i="5"/>
  <c r="E44" i="1" s="1"/>
  <c r="K44" i="1" s="1"/>
  <c r="F74" i="1" l="1"/>
  <c r="F89" i="1" s="1"/>
  <c r="G74" i="1"/>
  <c r="G89" i="1" s="1"/>
  <c r="G96" i="1" s="1"/>
  <c r="B15" i="19"/>
  <c r="D72" i="9"/>
  <c r="D77" i="9" s="1"/>
  <c r="D79" i="9" s="1"/>
  <c r="F42" i="1"/>
  <c r="F52" i="1" s="1"/>
  <c r="F54" i="1" s="1"/>
  <c r="J92" i="1"/>
  <c r="K92" i="1"/>
  <c r="E42" i="1"/>
  <c r="E52" i="1" s="1"/>
  <c r="K43" i="1"/>
  <c r="K42" i="1" s="1"/>
  <c r="K52" i="1" s="1"/>
  <c r="K54" i="1" s="1"/>
  <c r="J93" i="1"/>
  <c r="K93" i="1"/>
  <c r="J57" i="2"/>
  <c r="J52" i="2" s="1"/>
  <c r="J58" i="2" s="1"/>
  <c r="E52" i="2"/>
  <c r="E58" i="2" s="1"/>
  <c r="J83" i="1"/>
  <c r="J82" i="1" s="1"/>
  <c r="J88" i="1" s="1"/>
  <c r="G114" i="5"/>
  <c r="G110" i="5"/>
  <c r="F114" i="5"/>
  <c r="F110" i="5"/>
  <c r="C32" i="21" s="1"/>
  <c r="J24" i="1"/>
  <c r="J38" i="1"/>
  <c r="J37" i="1"/>
  <c r="J35" i="1"/>
  <c r="J34" i="1"/>
  <c r="J33" i="1"/>
  <c r="J32" i="1"/>
  <c r="J28" i="1"/>
  <c r="J26" i="1"/>
  <c r="J23" i="1"/>
  <c r="J22" i="1"/>
  <c r="J16" i="1"/>
  <c r="G17" i="2" l="1"/>
  <c r="G14" i="2"/>
  <c r="I43" i="1"/>
  <c r="I42" i="1" s="1"/>
  <c r="I52" i="1" s="1"/>
  <c r="I54" i="1" s="1"/>
  <c r="H43" i="1"/>
  <c r="I44" i="1"/>
  <c r="D62" i="9"/>
  <c r="D63" i="9" s="1"/>
  <c r="D80" i="9" s="1"/>
  <c r="D83" i="9" s="1"/>
  <c r="C179" i="5" s="1"/>
  <c r="H11" i="2"/>
  <c r="B21" i="17"/>
  <c r="B23" i="17" s="1"/>
  <c r="H44" i="1"/>
  <c r="C187" i="5"/>
  <c r="K94" i="1"/>
  <c r="J25" i="1"/>
  <c r="J21" i="1"/>
  <c r="J20" i="1" s="1"/>
  <c r="E20" i="1"/>
  <c r="E39" i="1" s="1"/>
  <c r="F96" i="1"/>
  <c r="F14" i="2" s="1"/>
  <c r="K193" i="4"/>
  <c r="E47" i="2" s="1"/>
  <c r="K164" i="4"/>
  <c r="E46" i="2" s="1"/>
  <c r="K160" i="4"/>
  <c r="E45" i="2" s="1"/>
  <c r="K151" i="4"/>
  <c r="E44" i="2" s="1"/>
  <c r="K44" i="2" s="1"/>
  <c r="K139" i="4"/>
  <c r="E42" i="2" s="1"/>
  <c r="K127" i="4"/>
  <c r="E41" i="2" s="1"/>
  <c r="K123" i="4"/>
  <c r="E40" i="2" s="1"/>
  <c r="K119" i="4"/>
  <c r="E39" i="2" s="1"/>
  <c r="K91" i="4"/>
  <c r="E38" i="2" s="1"/>
  <c r="K38" i="2" s="1"/>
  <c r="K87" i="4"/>
  <c r="E36" i="2" s="1"/>
  <c r="K83" i="4"/>
  <c r="K19" i="4"/>
  <c r="K13" i="4"/>
  <c r="E33" i="2" s="1"/>
  <c r="K33" i="2" s="1"/>
  <c r="K9" i="4"/>
  <c r="K5" i="4"/>
  <c r="K74" i="3"/>
  <c r="E71" i="1" s="1"/>
  <c r="K71" i="1" s="1"/>
  <c r="K79" i="3"/>
  <c r="E72" i="1" s="1"/>
  <c r="K95" i="3"/>
  <c r="E73" i="1" s="1"/>
  <c r="K70" i="3"/>
  <c r="E69" i="1" s="1"/>
  <c r="K55" i="3"/>
  <c r="E68" i="1" s="1"/>
  <c r="K50" i="3"/>
  <c r="E67" i="1" s="1"/>
  <c r="K46" i="3"/>
  <c r="E66" i="1" s="1"/>
  <c r="K42" i="3"/>
  <c r="E65" i="1" s="1"/>
  <c r="K18" i="3"/>
  <c r="E63" i="1" s="1"/>
  <c r="K5" i="3"/>
  <c r="E61" i="1" s="1"/>
  <c r="K14" i="3"/>
  <c r="E62" i="1" s="1"/>
  <c r="E70" i="2"/>
  <c r="J43" i="1" l="1"/>
  <c r="K72" i="1"/>
  <c r="J72" i="1"/>
  <c r="K63" i="1"/>
  <c r="J63" i="1"/>
  <c r="K65" i="1"/>
  <c r="E64" i="1"/>
  <c r="J65" i="1"/>
  <c r="K66" i="1"/>
  <c r="J66" i="1"/>
  <c r="K67" i="1"/>
  <c r="J67" i="1"/>
  <c r="K61" i="1"/>
  <c r="J61" i="1"/>
  <c r="K68" i="1"/>
  <c r="J68" i="1"/>
  <c r="C184" i="5"/>
  <c r="C29" i="21"/>
  <c r="H42" i="1"/>
  <c r="H52" i="1" s="1"/>
  <c r="H54" i="1" s="1"/>
  <c r="J44" i="1"/>
  <c r="F17" i="2"/>
  <c r="C174" i="5"/>
  <c r="H7" i="2"/>
  <c r="J11" i="2"/>
  <c r="J7" i="2" s="1"/>
  <c r="E34" i="2"/>
  <c r="K34" i="2" s="1"/>
  <c r="K73" i="1"/>
  <c r="J73" i="1"/>
  <c r="K69" i="1"/>
  <c r="J69" i="1"/>
  <c r="K62" i="1"/>
  <c r="E60" i="1"/>
  <c r="J62" i="1"/>
  <c r="J39" i="1"/>
  <c r="J40" i="2"/>
  <c r="K40" i="2"/>
  <c r="J45" i="2"/>
  <c r="K45" i="2"/>
  <c r="J46" i="2"/>
  <c r="K46" i="2"/>
  <c r="J42" i="2"/>
  <c r="K42" i="2"/>
  <c r="J47" i="2"/>
  <c r="K47" i="2"/>
  <c r="J36" i="2"/>
  <c r="K36" i="2"/>
  <c r="J41" i="2"/>
  <c r="K41" i="2"/>
  <c r="J39" i="2"/>
  <c r="K39" i="2"/>
  <c r="J38" i="2"/>
  <c r="E37" i="2"/>
  <c r="J71" i="1"/>
  <c r="E70" i="1"/>
  <c r="J44" i="2"/>
  <c r="E43" i="2"/>
  <c r="E32" i="2"/>
  <c r="J33" i="2"/>
  <c r="E31" i="2"/>
  <c r="K31" i="2" s="1"/>
  <c r="E35" i="2"/>
  <c r="I89" i="1"/>
  <c r="I96" i="1" s="1"/>
  <c r="H89" i="1"/>
  <c r="J94" i="1"/>
  <c r="E94" i="1"/>
  <c r="J79" i="1"/>
  <c r="E79" i="1"/>
  <c r="J58" i="1"/>
  <c r="E58" i="1"/>
  <c r="J17" i="1"/>
  <c r="E17" i="1"/>
  <c r="J42" i="1" l="1"/>
  <c r="J52" i="1" s="1"/>
  <c r="K70" i="1"/>
  <c r="J60" i="1"/>
  <c r="K60" i="1"/>
  <c r="K64" i="1"/>
  <c r="J64" i="1"/>
  <c r="H96" i="1"/>
  <c r="I14" i="2"/>
  <c r="J34" i="2"/>
  <c r="K43" i="2"/>
  <c r="J70" i="1"/>
  <c r="E74" i="1"/>
  <c r="E89" i="1" s="1"/>
  <c r="K37" i="2"/>
  <c r="J43" i="2"/>
  <c r="J37" i="2"/>
  <c r="J32" i="2"/>
  <c r="K32" i="2"/>
  <c r="K30" i="2" s="1"/>
  <c r="J35" i="2"/>
  <c r="K35" i="2"/>
  <c r="E30" i="2"/>
  <c r="E48" i="2" s="1"/>
  <c r="I17" i="2"/>
  <c r="J31" i="2"/>
  <c r="F60" i="2"/>
  <c r="J54" i="1"/>
  <c r="K74" i="1" l="1"/>
  <c r="K89" i="1" s="1"/>
  <c r="K96" i="1" s="1"/>
  <c r="J74" i="1"/>
  <c r="C3" i="21" s="1"/>
  <c r="C10" i="21" s="1"/>
  <c r="H17" i="2"/>
  <c r="H14" i="2"/>
  <c r="J14" i="2" s="1"/>
  <c r="C178" i="5" s="1"/>
  <c r="C180" i="5" s="1"/>
  <c r="K48" i="2"/>
  <c r="J30" i="2"/>
  <c r="J13" i="2"/>
  <c r="C173" i="5" s="1"/>
  <c r="C175" i="5" s="1"/>
  <c r="G60" i="2"/>
  <c r="E54" i="1"/>
  <c r="E96" i="1" s="1"/>
  <c r="E17" i="2" s="1"/>
  <c r="E60" i="2" s="1"/>
  <c r="J89" i="1"/>
  <c r="J96" i="1" s="1"/>
  <c r="K17" i="2" l="1"/>
  <c r="K60" i="2" s="1"/>
  <c r="J48" i="2"/>
  <c r="C15" i="21" s="1"/>
  <c r="C16" i="21"/>
  <c r="J64" i="2"/>
  <c r="J63" i="2"/>
  <c r="J66" i="2"/>
  <c r="I60" i="2"/>
  <c r="H60" i="2"/>
  <c r="C28" i="21" l="1"/>
  <c r="J17" i="2"/>
  <c r="C27" i="21" s="1"/>
  <c r="C22" i="21"/>
  <c r="J65" i="2"/>
  <c r="J68" i="2"/>
  <c r="C183" i="5" l="1"/>
  <c r="C188" i="5" s="1"/>
  <c r="C33" i="21"/>
  <c r="J60" i="2"/>
  <c r="J67" i="2"/>
  <c r="J69" i="2"/>
  <c r="F70" i="2" l="1"/>
  <c r="J70" i="2"/>
</calcChain>
</file>

<file path=xl/comments1.xml><?xml version="1.0" encoding="utf-8"?>
<comments xmlns="http://schemas.openxmlformats.org/spreadsheetml/2006/main">
  <authors>
    <author>PERSONALE</author>
  </authors>
  <commentList>
    <comment ref="E39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se non va tutto a risconti passivi indicare solo la quota che in essi confluisce
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NON METTERE QUI I NO TIT 2 CHE DIMINUISCONO I RISCONTI SE NO NON CALCOLA CORRETTAMENTE IN AUTOMATICO LE MINORI ENTRATE DELLE INSUSS. ATTIVO. METTILI DIRETTAMENTE NELLO STATO PAT.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rilevabile da specifico prospetto</t>
        </r>
      </text>
    </comment>
    <comment ref="D73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Non conteggiati come insussistenza dell'attivo</t>
        </r>
      </text>
    </comment>
    <comment ref="C130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Se il credito non viene compensato ma recuperato nel mod. F24 (caso Arcene 2020): VECCHIA VERSIONE: aggiungere agli oneri diversi di gestione del C.E. tale importo come se fosse un costo aggiuntivo di esercizio (del resto lo è ma non appare negli impegni perché recuperato); NUOVA VERSIONE: aggiungi ai debiti IVA (quindi in detrazione ai ricavi) come se fosse un debito che non ho pagato perchè compensato</t>
        </r>
      </text>
    </comment>
  </commentList>
</comments>
</file>

<file path=xl/comments2.xml><?xml version="1.0" encoding="utf-8"?>
<comments xmlns="http://schemas.openxmlformats.org/spreadsheetml/2006/main">
  <authors>
    <author>PERSONALE</author>
  </authors>
  <commentList>
    <comment ref="I27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Residui passivi al 31.12 derivanti da impegni di competenza
</t>
        </r>
      </text>
    </comment>
  </commentList>
</comments>
</file>

<file path=xl/comments3.xml><?xml version="1.0" encoding="utf-8"?>
<comments xmlns="http://schemas.openxmlformats.org/spreadsheetml/2006/main">
  <authors>
    <author>PERSONALE</author>
  </authors>
  <commentList>
    <comment ref="I32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QUESTI GIA' ERANO TRA LE IMM. IN CORSO QUINDI NON VANNO RIPORTATI NEL PROSPETTO
</t>
        </r>
      </text>
    </comment>
    <comment ref="I51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IN AUTOMATICO DA EX IMMOBILIZZAZIONI IN CORSO AD ECCEZIONE DEI MANDATI CHE RIMANGONO IMM. IN CORSO AL 31.12 E DEI NO TIT. 2 E DELLE IMMATERIALI</t>
        </r>
      </text>
    </comment>
    <comment ref="K51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Se le immateriali a residuo non erano inserite nelle imm.corso immateriali sposta l'importo nella colonna I</t>
        </r>
      </text>
    </comment>
    <comment ref="R51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DA COMPETENZA
</t>
        </r>
      </text>
    </comment>
    <comment ref="I52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MINORI RESIDUI</t>
        </r>
      </text>
    </comment>
    <comment ref="R52" author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DA RESIDUI
</t>
        </r>
      </text>
    </comment>
  </commentList>
</comments>
</file>

<file path=xl/sharedStrings.xml><?xml version="1.0" encoding="utf-8"?>
<sst xmlns="http://schemas.openxmlformats.org/spreadsheetml/2006/main" count="4141" uniqueCount="1015">
  <si>
    <t>STATO PATRIMONIALE (ATTIVO)</t>
  </si>
  <si>
    <t>A) CREDITI vs.LO STATO ED ALTRE AMMINISTRAZIONI PUBBLICHE PER LA PARTECIPAZIONE AL FONDO DI DOTAZIONE</t>
  </si>
  <si>
    <t>TOTALE CREDITI vs PARTECIPANTI (A)</t>
  </si>
  <si>
    <t>B) IMMOBILIZZAZIONI</t>
  </si>
  <si>
    <t>I</t>
  </si>
  <si>
    <t>Immobilizzazioni immateriali</t>
  </si>
  <si>
    <t>Costi di impianto e di ampliamento</t>
  </si>
  <si>
    <t>Costi di ricerca sviluppo e pubblicità</t>
  </si>
  <si>
    <t>Diritti di brevetto ed utilizzazione opere dell'ingegno</t>
  </si>
  <si>
    <t>Concessioni, licenze, marchi e diritti simile</t>
  </si>
  <si>
    <t>Avviamento</t>
  </si>
  <si>
    <t>Immobilizzazioni in corso ed acconti</t>
  </si>
  <si>
    <t>Altre</t>
  </si>
  <si>
    <t>Totale immobilizzazioni immateriali</t>
  </si>
  <si>
    <t>Immobilizzazioni materiali (3)</t>
  </si>
  <si>
    <t>II</t>
  </si>
  <si>
    <t>Beni demaniali</t>
  </si>
  <si>
    <t>1.1</t>
  </si>
  <si>
    <t>Terreni</t>
  </si>
  <si>
    <t>1.2</t>
  </si>
  <si>
    <t>Fabbricati</t>
  </si>
  <si>
    <t>1.3</t>
  </si>
  <si>
    <t>Infrastrutture</t>
  </si>
  <si>
    <t>1.9</t>
  </si>
  <si>
    <t>Altri beni demaniali</t>
  </si>
  <si>
    <t>III</t>
  </si>
  <si>
    <t>Altre immobilizzazioni materiali (3)</t>
  </si>
  <si>
    <t xml:space="preserve"> </t>
  </si>
  <si>
    <t>2.1</t>
  </si>
  <si>
    <t xml:space="preserve">Terreni </t>
  </si>
  <si>
    <t>a</t>
  </si>
  <si>
    <t>di cui in leasing finanziario</t>
  </si>
  <si>
    <t>2.2</t>
  </si>
  <si>
    <t>2.3</t>
  </si>
  <si>
    <t>Impianti e macchinari</t>
  </si>
  <si>
    <t>2.4</t>
  </si>
  <si>
    <t>Attrezzature industriali e commerciali</t>
  </si>
  <si>
    <t>2.5</t>
  </si>
  <si>
    <t xml:space="preserve">Mezzi di trasporto </t>
  </si>
  <si>
    <t>2.6</t>
  </si>
  <si>
    <t>Macchine per ufficio e hardware</t>
  </si>
  <si>
    <t>2.7</t>
  </si>
  <si>
    <t>Mobili e arredi</t>
  </si>
  <si>
    <t>2.8</t>
  </si>
  <si>
    <t>2.99</t>
  </si>
  <si>
    <t>Altri beni materiali</t>
  </si>
  <si>
    <t>Totale immobilizzazioni materiali</t>
  </si>
  <si>
    <t>IV</t>
  </si>
  <si>
    <t>Immobilizzazioni Finanziarie (1)</t>
  </si>
  <si>
    <t xml:space="preserve">Partecipazioni in </t>
  </si>
  <si>
    <t>imprese controllate</t>
  </si>
  <si>
    <t>b</t>
  </si>
  <si>
    <t>imprese partecipate</t>
  </si>
  <si>
    <t>c</t>
  </si>
  <si>
    <t>altri soggetti</t>
  </si>
  <si>
    <t>Crediti verso</t>
  </si>
  <si>
    <t>altre amministrazioni pubbliche</t>
  </si>
  <si>
    <t>imprese  partecipate</t>
  </si>
  <si>
    <t>d</t>
  </si>
  <si>
    <t xml:space="preserve">altri soggetti </t>
  </si>
  <si>
    <t>Altri titoli</t>
  </si>
  <si>
    <t>Totale immobilizzazioni finanziarie</t>
  </si>
  <si>
    <t>TOTALE IMMOBILIZZAZIONI (B)</t>
  </si>
  <si>
    <t>C) ATTIVO CIRCOLANTE</t>
  </si>
  <si>
    <t>Rimanenze</t>
  </si>
  <si>
    <t>Totale rimanenze</t>
  </si>
  <si>
    <t>Crediti       (2)</t>
  </si>
  <si>
    <t>Crediti di natura tributaria</t>
  </si>
  <si>
    <t>Crediti da tributi destinati al finanziamento della sanità</t>
  </si>
  <si>
    <t>Altri crediti da tributi</t>
  </si>
  <si>
    <t>Crediti da Fondi perequativi</t>
  </si>
  <si>
    <t>Crediti per trasferimenti e contributi</t>
  </si>
  <si>
    <t>verso amministrazioni pubbliche</t>
  </si>
  <si>
    <t>verso altri soggetti</t>
  </si>
  <si>
    <t>Verso clienti ed utenti</t>
  </si>
  <si>
    <t xml:space="preserve">Altri Crediti </t>
  </si>
  <si>
    <t>verso l'erario</t>
  </si>
  <si>
    <t>per attività svolta per c/terzi</t>
  </si>
  <si>
    <t>altri</t>
  </si>
  <si>
    <t>Totale crediti</t>
  </si>
  <si>
    <t>Attività finanziarie che non costituiscono immobilizzi</t>
  </si>
  <si>
    <t>Partecipazioni</t>
  </si>
  <si>
    <t>Totale attività finanziarie che non costituiscono immobilizzi</t>
  </si>
  <si>
    <t>Disponibilità liquide</t>
  </si>
  <si>
    <t>Conto di tesoreria</t>
  </si>
  <si>
    <t>Istituto tesoriere</t>
  </si>
  <si>
    <t>presso Banca d'Italia</t>
  </si>
  <si>
    <t>Altri depositi bancari e postali</t>
  </si>
  <si>
    <t>Denaro e valori in cassa</t>
  </si>
  <si>
    <t>Altri conti presso la tesoreria statale intestati all'ente</t>
  </si>
  <si>
    <t>Totale disponibilità liquide</t>
  </si>
  <si>
    <t>TOTALE ATTIVO CIRCOLANTE (C)</t>
  </si>
  <si>
    <t>D) RATEI E RISCONTI</t>
  </si>
  <si>
    <t xml:space="preserve">Ratei attivi </t>
  </si>
  <si>
    <t>Risconti attivi</t>
  </si>
  <si>
    <t>TOTALE RATEI E RISCONTI  (D)</t>
  </si>
  <si>
    <t>TOTALE DELL'ATTIVO (A+B+C+D)</t>
  </si>
  <si>
    <t>STATO PATRIMONIALE (PASSIVO)</t>
  </si>
  <si>
    <t>A) PATRIMONIO NETTO</t>
  </si>
  <si>
    <t>Fondo di dotazione</t>
  </si>
  <si>
    <t xml:space="preserve">Riserve </t>
  </si>
  <si>
    <t>da capitale</t>
  </si>
  <si>
    <t>da permessi di costruire</t>
  </si>
  <si>
    <t>riserve indisponibili per beni demaniali e patrimoniali indisponibili e per i beni culturali</t>
  </si>
  <si>
    <t>e</t>
  </si>
  <si>
    <t>altre riserve indisponibili</t>
  </si>
  <si>
    <t>Risultato economico dell'esercizio</t>
  </si>
  <si>
    <t>TOTALE PATRIMONIO NETTO (A)</t>
  </si>
  <si>
    <t>B) FONDI PER RISCHI ED ONERI</t>
  </si>
  <si>
    <t>Per trattamento di quiescenza</t>
  </si>
  <si>
    <t>Per imposte</t>
  </si>
  <si>
    <t>Altri</t>
  </si>
  <si>
    <t>TOTALE FONDI RISCHI ED ONERI (B)</t>
  </si>
  <si>
    <t>C)TRATTAMENTO DI FINE RAPPORTO</t>
  </si>
  <si>
    <t>TOTALE T.F.R. (C)</t>
  </si>
  <si>
    <t>D) DEBITI   (1)</t>
  </si>
  <si>
    <t>Debiti da finanziamento</t>
  </si>
  <si>
    <t xml:space="preserve">a </t>
  </si>
  <si>
    <t>prestiti obbligazionari</t>
  </si>
  <si>
    <t>v/ altre amministrazioni pubbliche</t>
  </si>
  <si>
    <t>verso banche e tesoriere</t>
  </si>
  <si>
    <t>verso altri finanziatori</t>
  </si>
  <si>
    <t>Debiti verso fornitori</t>
  </si>
  <si>
    <t>Acconti</t>
  </si>
  <si>
    <t>Debiti per trasferimenti e contributi</t>
  </si>
  <si>
    <t>enti finanziati dal servizio sanitario nazionale</t>
  </si>
  <si>
    <t xml:space="preserve">Altri debiti </t>
  </si>
  <si>
    <t>tributari</t>
  </si>
  <si>
    <t>verso istituti di previdenza e sicurezza sociale</t>
  </si>
  <si>
    <t>per attività svolta per c/terzi (2)</t>
  </si>
  <si>
    <t>TOTALE DEBITI ( D)</t>
  </si>
  <si>
    <t>E) RATEI E RISCONTI E CONTRIBUTI AGLI INVESTIMENTI</t>
  </si>
  <si>
    <t xml:space="preserve">Ratei passivi </t>
  </si>
  <si>
    <t>Risconti passivi</t>
  </si>
  <si>
    <t xml:space="preserve">Contributi agli investimenti </t>
  </si>
  <si>
    <t>da altre amministrazioni pubbliche</t>
  </si>
  <si>
    <t>da altri soggetti</t>
  </si>
  <si>
    <t>Concessioni pluriennali</t>
  </si>
  <si>
    <t>Altri risconti passivi</t>
  </si>
  <si>
    <t>TOTALE RATEI E RISCONTI (E)</t>
  </si>
  <si>
    <t>TOTALE DEL PASSIVO (A+B+C+D+E)</t>
  </si>
  <si>
    <t>CONTI D'ORDINE</t>
  </si>
  <si>
    <t>1) Impegni su esercizi futuri</t>
  </si>
  <si>
    <t>2) beni di terzi in uso</t>
  </si>
  <si>
    <t>3) beni dati in uso a terzi</t>
  </si>
  <si>
    <t>4) garanzie prestate a amministrazioni pubbliche</t>
  </si>
  <si>
    <t>5) garanzie prestate a imprese controllate</t>
  </si>
  <si>
    <t>6) garanzie prestate a imprese partecipate</t>
  </si>
  <si>
    <t xml:space="preserve">7) garanzie prestate a altre imprese </t>
  </si>
  <si>
    <t>TOTALE CONTI D'ORDINE</t>
  </si>
  <si>
    <t>CAP</t>
  </si>
  <si>
    <t>ART</t>
  </si>
  <si>
    <t>C-II-1-a</t>
  </si>
  <si>
    <t>C-II-1-b</t>
  </si>
  <si>
    <t>C-II-1-c</t>
  </si>
  <si>
    <t>C-II-2-a</t>
  </si>
  <si>
    <t>Trasferimenti e contributi verso amministrazioni pubbliche</t>
  </si>
  <si>
    <t>Trasferimenti e contributi verso imprese controllate</t>
  </si>
  <si>
    <t>C-II-2-b</t>
  </si>
  <si>
    <t>Trasferimenti e contributi verso imprese partecipate</t>
  </si>
  <si>
    <t>C-II-2-c</t>
  </si>
  <si>
    <t>Trasferimenti e contributi verso altri soggetti</t>
  </si>
  <si>
    <t>C-II-2-d</t>
  </si>
  <si>
    <t>C-II-3</t>
  </si>
  <si>
    <t>Altri crediti verso l'erario</t>
  </si>
  <si>
    <t>Altri crediti per attività svolta per c/terzi</t>
  </si>
  <si>
    <t>C-II-4-a</t>
  </si>
  <si>
    <t>C-II-4-b</t>
  </si>
  <si>
    <t>Altri crediti - altri</t>
  </si>
  <si>
    <t>C-II-4-c</t>
  </si>
  <si>
    <t>D-1-a</t>
  </si>
  <si>
    <t>Debiti da finanziamento v/ altre amministrazioni pubbliche</t>
  </si>
  <si>
    <t>D-1-b</t>
  </si>
  <si>
    <t>Debiti da finanziamento prestiti obbligazionari</t>
  </si>
  <si>
    <t>Debiti da finanziamento verso banche e tesoriere</t>
  </si>
  <si>
    <t>D-1-c</t>
  </si>
  <si>
    <t>Debiti da finanziamento verso altri finanziatori</t>
  </si>
  <si>
    <t>D-1-d</t>
  </si>
  <si>
    <t>Trasferimenti e contributi enti finanziati dal S.S.N.</t>
  </si>
  <si>
    <t>Trasferimenti e contributi altre amministrazioni pubbliche</t>
  </si>
  <si>
    <t>Trasferimenti e contributi imprese controllate</t>
  </si>
  <si>
    <t>Trasferimenti e contributi imprese partecipate</t>
  </si>
  <si>
    <t>Trasferimenti e contributi altri soggetti</t>
  </si>
  <si>
    <t>Altri debiti tributari</t>
  </si>
  <si>
    <t>Altri debiti verso istituti di previdenza e sicurezza sociale</t>
  </si>
  <si>
    <t>Altri debiti per attività svolta per c/terzi</t>
  </si>
  <si>
    <t>Altri debiti - altri</t>
  </si>
  <si>
    <t>D-2</t>
  </si>
  <si>
    <t>D-3</t>
  </si>
  <si>
    <t>D-4-a</t>
  </si>
  <si>
    <t>D-4-b</t>
  </si>
  <si>
    <t>D-4-c</t>
  </si>
  <si>
    <t>D-4-d</t>
  </si>
  <si>
    <t>D-4-e</t>
  </si>
  <si>
    <t>D-5-a</t>
  </si>
  <si>
    <t>D-5-b</t>
  </si>
  <si>
    <t>D-5-c</t>
  </si>
  <si>
    <t>D-5-d</t>
  </si>
  <si>
    <t>PARTECIPAZIONI</t>
  </si>
  <si>
    <t>SOCIETA' 1</t>
  </si>
  <si>
    <t>SOCIETA' 2</t>
  </si>
  <si>
    <t>SOCIETA' 3</t>
  </si>
  <si>
    <t>SOCIETA' 4</t>
  </si>
  <si>
    <t>SOCIETA' 5</t>
  </si>
  <si>
    <t>Totale imprese partecipate</t>
  </si>
  <si>
    <t>Totale imprese controllate</t>
  </si>
  <si>
    <t>RIMANENZE</t>
  </si>
  <si>
    <t>FONDO DI CASSA</t>
  </si>
  <si>
    <t>RATEI E RISCONTI</t>
  </si>
  <si>
    <t>RATEI ATTIVI</t>
  </si>
  <si>
    <t>RISCONTI ATTIVI</t>
  </si>
  <si>
    <t>RATEI PASSIVI</t>
  </si>
  <si>
    <t>RISCONTI PASSIVI</t>
  </si>
  <si>
    <t>IVA</t>
  </si>
  <si>
    <t>DEBITI PER ANTICIPAZIONI DI CASSA</t>
  </si>
  <si>
    <t>VARIAZIONI + DA CONTO FIN</t>
  </si>
  <si>
    <t>VARIAZIONI - DA CONTO FIN</t>
  </si>
  <si>
    <t>VARIAZIONI + DA ALTRE CAUSE</t>
  </si>
  <si>
    <t>VARIAZIONI - DA ALTRE CAUSE</t>
  </si>
  <si>
    <t>FCDE
INIZIALE</t>
  </si>
  <si>
    <t>ACCERTAMENTI
DI COMPETENZA</t>
  </si>
  <si>
    <t>TOTALE
RISCOSSIONI</t>
  </si>
  <si>
    <t>MAGGIORI
ENTRATE</t>
  </si>
  <si>
    <t>MINORI ENTRATE</t>
  </si>
  <si>
    <t>FCDE
FINALE</t>
  </si>
  <si>
    <t xml:space="preserve"> D          E           M           A           N           I           A           L           I </t>
  </si>
  <si>
    <t>IN CORSO</t>
  </si>
  <si>
    <t>I  M  M  A  T  E  R  I  A  L  I</t>
  </si>
  <si>
    <t>M                  O                  B                  I                  L                  I</t>
  </si>
  <si>
    <t>FINANZIARIE</t>
  </si>
  <si>
    <t>NO TIT. 2°</t>
  </si>
  <si>
    <t>Altri beni</t>
  </si>
  <si>
    <t>Imm.in corso</t>
  </si>
  <si>
    <t>In corso</t>
  </si>
  <si>
    <t>Attrezzature</t>
  </si>
  <si>
    <t>Mezzi</t>
  </si>
  <si>
    <t>Uff/hardware</t>
  </si>
  <si>
    <t>Arredi</t>
  </si>
  <si>
    <t>Non inerenti</t>
  </si>
  <si>
    <t>disp + indisp</t>
  </si>
  <si>
    <t>cat. G + imm</t>
  </si>
  <si>
    <t>cat. D, M</t>
  </si>
  <si>
    <t>cat. B, C</t>
  </si>
  <si>
    <t>cat. E, F, N, O</t>
  </si>
  <si>
    <t>cat. A</t>
  </si>
  <si>
    <t>cat. H, I, L</t>
  </si>
  <si>
    <t>totale titolo 2°</t>
  </si>
  <si>
    <t>VARIAZIONI NEGATIVE DA CONTO FINANZIARIO</t>
  </si>
  <si>
    <t>totale var negative</t>
  </si>
  <si>
    <t>VARIAZIONI POSITIVE DA ALTRE CAUSE</t>
  </si>
  <si>
    <t>altre cause</t>
  </si>
  <si>
    <t>AMMORTAMENTI DI ESERCIZIO</t>
  </si>
  <si>
    <t>totale ammortamenti</t>
  </si>
  <si>
    <t>ALTRE VARIAZIONI NEGATIVE DA ALTRE CAUSE</t>
  </si>
  <si>
    <t>totale var negative a.c.</t>
  </si>
  <si>
    <t>VARIAZIONI POSITIVE DA CONTO FINANZIARIO (IMPEGNI E MANDATI DI COMPETENZA)</t>
  </si>
  <si>
    <t>ex immobilizzazioni in corso</t>
  </si>
  <si>
    <t>VALORE
INIZIALE</t>
  </si>
  <si>
    <t>VARIAZIONI +
CONTO FIN</t>
  </si>
  <si>
    <t>VARIAZIONI -
CONTO FIN</t>
  </si>
  <si>
    <t>VARIAZIONI + 
ALTRE CAUSE</t>
  </si>
  <si>
    <t>VARIAZIONI -
ALTRE CAUSE</t>
  </si>
  <si>
    <t>VALORE 
INIZIALE</t>
  </si>
  <si>
    <t>ACCANTON.
ESERCIZIO</t>
  </si>
  <si>
    <t>TOTALE
PAGAMENTI</t>
  </si>
  <si>
    <t>INIZIALI</t>
  </si>
  <si>
    <t>FINALI</t>
  </si>
  <si>
    <t>RESIDUO INIZIALE</t>
  </si>
  <si>
    <t>RESIDUO FINALE</t>
  </si>
  <si>
    <t>IMPEGNI DI 
COMPETENZA</t>
  </si>
  <si>
    <t>TOTALE PAGAMENTI</t>
  </si>
  <si>
    <t>RISERVE DA PERMESSI DI COSTRUIRE</t>
  </si>
  <si>
    <t>INCREMENTO</t>
  </si>
  <si>
    <t>INIZIALE</t>
  </si>
  <si>
    <t>DEBITI DI FINANZIAMENTO</t>
  </si>
  <si>
    <t>PRESTITI OBBLIGAZIONARI</t>
  </si>
  <si>
    <t>VERSO ALTRE AMM.NI PUBBLICHE</t>
  </si>
  <si>
    <t>VERSO ALTRI FINANZIATORI</t>
  </si>
  <si>
    <t>MAGGIORI
SPESE</t>
  </si>
  <si>
    <t>MINORI SPESE</t>
  </si>
  <si>
    <t>CONTRIBUTI AGLI INVESTIMENTI</t>
  </si>
  <si>
    <t>AMMORT.ATTIVI</t>
  </si>
  <si>
    <t xml:space="preserve">CONTO ECONOMICO </t>
  </si>
  <si>
    <t>A) COMPONENTI POSITIVI DELLA GESTIONE</t>
  </si>
  <si>
    <t>Proventi da tributi</t>
  </si>
  <si>
    <t xml:space="preserve">Proventi da fondi perequativi </t>
  </si>
  <si>
    <t>Proventi da trasferimenti e contributi</t>
  </si>
  <si>
    <t>Proventi da trasferimenti correnti</t>
  </si>
  <si>
    <t>Quota annuale di contributi agli investimenti</t>
  </si>
  <si>
    <t>Contributi agli investimenti</t>
  </si>
  <si>
    <t>Ricavi delle vendite e prestazioni e proventi da servizi pubblici</t>
  </si>
  <si>
    <t>Proventi derivanti dalla gestione dei beni</t>
  </si>
  <si>
    <t>Ricavi della vendita di beni</t>
  </si>
  <si>
    <t>Ricavi e proventi dalla prestazione di servizi</t>
  </si>
  <si>
    <t>Variazioni nelle rimanenze di prodotti in corso di lavorazione, etc. (+/-)</t>
  </si>
  <si>
    <t>Variazione dei lavori in corso su ordinazione</t>
  </si>
  <si>
    <t>Incrementi di immobilizzazioni per lavori interni</t>
  </si>
  <si>
    <t>Altri ricavi e proventi diversi</t>
  </si>
  <si>
    <t>TOTALE COMPONENTI POSITIVI DELLA GESTIONE (A)</t>
  </si>
  <si>
    <t>B) COMPONENTI NEGATIVI DELLA GESTIONE</t>
  </si>
  <si>
    <t>Acquisto di materie prime e/o beni di consumo</t>
  </si>
  <si>
    <t xml:space="preserve">Prestazioni di servizi </t>
  </si>
  <si>
    <r>
      <t xml:space="preserve">Utilizzo </t>
    </r>
    <r>
      <rPr>
        <sz val="11"/>
        <color theme="1"/>
        <rFont val="Calibri"/>
        <family val="2"/>
        <scheme val="minor"/>
      </rPr>
      <t xml:space="preserve"> beni di terzi</t>
    </r>
  </si>
  <si>
    <t>Trasferimenti e contributi</t>
  </si>
  <si>
    <t>Trasferimenti correnti</t>
  </si>
  <si>
    <t>Contributi agli investimenti ad Amministrazioni pubb.</t>
  </si>
  <si>
    <t>Contributi agli investimenti ad altri soggetti</t>
  </si>
  <si>
    <t>Personale</t>
  </si>
  <si>
    <t>Ammortamenti e svalutazioni</t>
  </si>
  <si>
    <t>Ammortamenti di immobilizzazioni Immateriali</t>
  </si>
  <si>
    <t>Ammortamenti di immobilizzazioni materiali</t>
  </si>
  <si>
    <t>Altre svalutazioni delle immobilizzazioni</t>
  </si>
  <si>
    <t>Svalutazione dei crediti</t>
  </si>
  <si>
    <t>Variazioni nelle rimanenze di materie prime e/o beni di consumo (+/-)</t>
  </si>
  <si>
    <t>Accantonamenti per rischi</t>
  </si>
  <si>
    <t>Altri accantonamenti</t>
  </si>
  <si>
    <t>Oneri diversi di gestione</t>
  </si>
  <si>
    <t>TOTALE COMPONENTI NEGATIVI DELLA GESTIONE (B)</t>
  </si>
  <si>
    <t>DIFFERENZA FRA COMP. POSITIVI E NEGATIVI DELLA GESTIONE ( A-B)</t>
  </si>
  <si>
    <t>C) PROVENTI ED ONERI FINANZIARI</t>
  </si>
  <si>
    <t>Proventi finanziari</t>
  </si>
  <si>
    <t>Proventi da partecipazioni</t>
  </si>
  <si>
    <t>da società controllate</t>
  </si>
  <si>
    <t>da società partecipate</t>
  </si>
  <si>
    <t>Altri proventi finanziari</t>
  </si>
  <si>
    <t>Totale proventi finanziari</t>
  </si>
  <si>
    <t>Oneri finanziari</t>
  </si>
  <si>
    <t>Interessi ed altri oneri finanziari</t>
  </si>
  <si>
    <t>Interessi passivi</t>
  </si>
  <si>
    <t>Altri oneri finanziari</t>
  </si>
  <si>
    <t>Totale oneri finanziari</t>
  </si>
  <si>
    <t xml:space="preserve">TOTALE PROVENTI ED ONERI FINANZIARI (C) </t>
  </si>
  <si>
    <t>D) RETTIFICHE DI VALORE ATTIVITA' FINANZIARIE</t>
  </si>
  <si>
    <t xml:space="preserve">Rivalutazioni </t>
  </si>
  <si>
    <t>Svalutazioni</t>
  </si>
  <si>
    <t>TOTALE RETTIFICHE (D)</t>
  </si>
  <si>
    <t>E) PROVENTI ED ONERI STRAORDINARI</t>
  </si>
  <si>
    <t>Proventi straordinari</t>
  </si>
  <si>
    <r>
      <t>Proventi da permessi di costruire</t>
    </r>
    <r>
      <rPr>
        <b/>
        <i/>
        <sz val="11"/>
        <rFont val="Calibri"/>
        <family val="2"/>
      </rPr>
      <t xml:space="preserve"> </t>
    </r>
  </si>
  <si>
    <t>Proventi da trasferimenti in conto capitale</t>
  </si>
  <si>
    <t>Sopravvenienze attive e insussistenze del passivo</t>
  </si>
  <si>
    <t>Plusvalenze patrimoniali</t>
  </si>
  <si>
    <t>Altri proventi straordinari</t>
  </si>
  <si>
    <t>Totale proventi straordinari</t>
  </si>
  <si>
    <t>Oneri straordinari</t>
  </si>
  <si>
    <t>Trasferimenti in conto capitale</t>
  </si>
  <si>
    <t>Sopravvenienze passive e insussistenze dell'attivo</t>
  </si>
  <si>
    <t>Minusvalenze patrimoniali</t>
  </si>
  <si>
    <t xml:space="preserve">Altri oneri straordinari </t>
  </si>
  <si>
    <t>Totale oneri straordinari</t>
  </si>
  <si>
    <t>TOTALE PROVENTI ED ONERI STRAORDINARI (E)</t>
  </si>
  <si>
    <t>RISULTATO PRIMA DELLE IMPOSTE  (A-B+C+D+E)</t>
  </si>
  <si>
    <t>Imposte (*)</t>
  </si>
  <si>
    <t>RISULTATO DELL'ESERCIZIO</t>
  </si>
  <si>
    <t>Utilizzo  beni di terzi</t>
  </si>
  <si>
    <t xml:space="preserve">Imposte </t>
  </si>
  <si>
    <t>SOPRAVVENIENZE ATTIVE E INSUSS.PASSIVO</t>
  </si>
  <si>
    <t>MAGGIORI ENTRATE</t>
  </si>
  <si>
    <t>VARIAZIONI + DA ALTRE CAUSE IMMOB.</t>
  </si>
  <si>
    <t>(ALTRO)</t>
  </si>
  <si>
    <t>PLUSVALENZE/MINUSVALENZE</t>
  </si>
  <si>
    <t>VALORE CEDUTO</t>
  </si>
  <si>
    <t>ACCERTAMENTO</t>
  </si>
  <si>
    <t>DA IMPEGNI DI COMPETENZA</t>
  </si>
  <si>
    <t>SOPRAVVENIENZE PASSIVE E INSUSS.ATTIVO</t>
  </si>
  <si>
    <t>B9</t>
  </si>
  <si>
    <t>B10</t>
  </si>
  <si>
    <t>B11</t>
  </si>
  <si>
    <t>B12a</t>
  </si>
  <si>
    <t>B18</t>
  </si>
  <si>
    <t>26</t>
  </si>
  <si>
    <t>Proventi da fondi perequativi</t>
  </si>
  <si>
    <t>Ricavi dalla vendita di beni</t>
  </si>
  <si>
    <t>Proventi da partecipazioni da società controllate</t>
  </si>
  <si>
    <t>Proventi da partecipazioni da società partecipate</t>
  </si>
  <si>
    <t>Proventi da partecipazioni da altri soggetti</t>
  </si>
  <si>
    <t>P.D.C.
FINANZIARIO</t>
  </si>
  <si>
    <t>COD
MISS</t>
  </si>
  <si>
    <t>COD
PROG</t>
  </si>
  <si>
    <t>DESCRIZIONE MISSIONE</t>
  </si>
  <si>
    <t>DESCRIZIONE PROGRAMMA</t>
  </si>
  <si>
    <t>CODICE
C.E.</t>
  </si>
  <si>
    <t>CODICE
S.P.</t>
  </si>
  <si>
    <t>DESCRIZIONE CAPITOLO</t>
  </si>
  <si>
    <t>TOTALI</t>
  </si>
  <si>
    <t>RESIDUO INIZIALE ALL'1.1</t>
  </si>
  <si>
    <t>IMPEGNI DI COMPETENZA</t>
  </si>
  <si>
    <t>PAGATO A RESIDUO</t>
  </si>
  <si>
    <t>PAGATO DI COMPETENZA</t>
  </si>
  <si>
    <t>RESIDUI ELIMINATI</t>
  </si>
  <si>
    <t>RESIDUI DA RESIDUO</t>
  </si>
  <si>
    <t>RESIDUI DA COMPETENZA</t>
  </si>
  <si>
    <t>TOTALE RESIDUI AL 31.12</t>
  </si>
  <si>
    <t>VOCE</t>
  </si>
  <si>
    <t>IMPORTO</t>
  </si>
  <si>
    <t xml:space="preserve">DESCRIZIONE </t>
  </si>
  <si>
    <t>NOTE</t>
  </si>
  <si>
    <t>Beni demaniali - Infrastrutture</t>
  </si>
  <si>
    <t>Tot.</t>
  </si>
  <si>
    <t>EX IMMOBILIZZAZIONI IN CORSO CONCLUSE</t>
  </si>
  <si>
    <t>Altre immobilizzazioni materiali - Macchine per ufficio e hardware</t>
  </si>
  <si>
    <t>TITOLO 1°</t>
  </si>
  <si>
    <t>Immobilizzazioni immateriali (varie voci)</t>
  </si>
  <si>
    <t>Immobilizzazioni materiali (varie voci)</t>
  </si>
  <si>
    <t>Altre immobilizzazioni materiali - Immobilizzazioni in corso</t>
  </si>
  <si>
    <t>DETTAGLIO MANDATI TIT. 2° NON INSERITI A PATRIMONIO</t>
  </si>
  <si>
    <t>DESCRIZIONE</t>
  </si>
  <si>
    <t>Trasferimenti di capitale</t>
  </si>
  <si>
    <t>Restituzione proventi</t>
  </si>
  <si>
    <t>Altre immobilizzazioni materiali - Mezzi di trasporto</t>
  </si>
  <si>
    <t>MANDATI TITOLO 2° NON IMMOBILIZZATI</t>
  </si>
  <si>
    <t>RESIDUI TITOLO 2° ELIMINATI DAL BILANCIO</t>
  </si>
  <si>
    <t>Immobilizzazioni immateriali - Altre</t>
  </si>
  <si>
    <t>Immobilizzazioni immateriali - Immobilizzazioni in corso</t>
  </si>
  <si>
    <t>AD ECCEZIONE DEL TITOLO 2°</t>
  </si>
  <si>
    <t>DETTAGLIO PROVENTI ED ONERI STRAORDINARI DEL CONTO ECONOMICO</t>
  </si>
  <si>
    <r>
      <t>Proventi da permessi di costruire</t>
    </r>
    <r>
      <rPr>
        <b/>
        <i/>
        <sz val="13"/>
        <rFont val="Calibri"/>
        <family val="2"/>
      </rPr>
      <t xml:space="preserve"> </t>
    </r>
  </si>
  <si>
    <t>Accertamenti di competenza al titolo 4° tipologia 300</t>
  </si>
  <si>
    <t>Mandati titolo 2° non immobilizzati</t>
  </si>
  <si>
    <t>Accertamenti di competenza al titolo 4° tipologia 500 per altre entrate in conto capitale n.a.c.</t>
  </si>
  <si>
    <t>Accertamenti di competenza per permessi di costruire destinati alle spese correnti</t>
  </si>
  <si>
    <t>DETTAGLIO VARIAZIONI + DA ALTRE CAUSE IMMOBILIZZAZIONI</t>
  </si>
  <si>
    <t>DETTAGLIO VARIAZIONI - DA ALTRE CAUSE IMMOBILIZZAZIONI</t>
  </si>
  <si>
    <t>Partecipazioni in - Imprese partecipate</t>
  </si>
  <si>
    <t>INCREMENTO VALORE QUOTA PARTE PATRIMONIO NETTO</t>
  </si>
  <si>
    <t>A RISC. PASSIVI</t>
  </si>
  <si>
    <t>DIFFERENZA</t>
  </si>
  <si>
    <t>FPV CAPITALE</t>
  </si>
  <si>
    <t>FPV CORRENTE</t>
  </si>
  <si>
    <t>SALARIO ACCESSORIO</t>
  </si>
  <si>
    <t>MOVIMENTI PATRIMONIO NETTO</t>
  </si>
  <si>
    <t>VALORE
FINALE</t>
  </si>
  <si>
    <t xml:space="preserve">DA PUBBLICHE AMMINISTRAZIONI </t>
  </si>
  <si>
    <t>DA ALTRI SOGGETTI</t>
  </si>
  <si>
    <t>VERIFICARE PRESENZA MOVIMENTAZIONI AL TITOLO 3° DELLA SPESA</t>
  </si>
  <si>
    <t xml:space="preserve">Si trova sul prospetto della verifica equilibri </t>
  </si>
  <si>
    <t>MAND</t>
  </si>
  <si>
    <t>f</t>
  </si>
  <si>
    <t>altre riserve disponibili</t>
  </si>
  <si>
    <t>V</t>
  </si>
  <si>
    <t>Risultati economici di esercizi precedenti</t>
  </si>
  <si>
    <t>Riserve negative per beni indisponibili</t>
  </si>
  <si>
    <t>FONDO CREDITI DUBBIA ESIGIBILITA'</t>
  </si>
  <si>
    <t>FONDO SVALUTAZIONE CREDITI
(copre interamente i debiti stralciati)</t>
  </si>
  <si>
    <t>Dato rilevabile in fondo al prospetto FCDE</t>
  </si>
  <si>
    <t>Patrimonio netto ultimo anno</t>
  </si>
  <si>
    <t>Percentuale
di possesso</t>
  </si>
  <si>
    <t>c a l c o l o    d a t o     f i n a l e</t>
  </si>
  <si>
    <t>FONDO PLURIENNALE VINCOLATO</t>
  </si>
  <si>
    <t>FINALE</t>
  </si>
  <si>
    <t>Fondo di dotazione (I) e Riserve (II) non possono avere valore negativo - Possono essere negative solo le voci III-IV-V</t>
  </si>
  <si>
    <t>DESTINATE ALLE SPESE CORRENTI</t>
  </si>
  <si>
    <t>DESTINATI A OPERE DEMANIALI/INDISPONIBILI</t>
  </si>
  <si>
    <t>DA RISULTATO ECONOMICO PRECEDENTE A ………………….</t>
  </si>
  <si>
    <t>DA RISERVE DA PERMESSI DI COSTRUIRE A RISERVE BENI DEM/IND</t>
  </si>
  <si>
    <t>PERMESSI DI COSTRUIRE RESTITUITI</t>
  </si>
  <si>
    <t>Compilare se la voce è sufficientemente capiente</t>
  </si>
  <si>
    <t>OPERE A SCOMPUTO NON CONTABILIZZATE</t>
  </si>
  <si>
    <t>Comprese le opere a scomputo non contabilizzate</t>
  </si>
  <si>
    <t>VERIFICARE SE SONO STATI ANCHE INCASSATI (il solo accertamento non costituisce più ora incremento patrimoniale)</t>
  </si>
  <si>
    <t xml:space="preserve">RISERVE BENI DEMANIALI/INDISPONIBILI INIZIALI </t>
  </si>
  <si>
    <t>RISERVE BENI DEMANIALI/INDISPONIBILI FINALI</t>
  </si>
  <si>
    <t>Movimenti</t>
  </si>
  <si>
    <t>(tra cui mandati a residuo)</t>
  </si>
  <si>
    <t>RISCONTI PASSIVI (FONDONE)</t>
  </si>
  <si>
    <t>IVA:</t>
  </si>
  <si>
    <t xml:space="preserve">INIZIALI </t>
  </si>
  <si>
    <t>(base calcolo 
amm. attivi)</t>
  </si>
  <si>
    <t>Altri crediti da tributi (C-II-1-b)</t>
  </si>
  <si>
    <t>Crediti verso clienti ed utenti (C-II-3)</t>
  </si>
  <si>
    <t>Totale</t>
  </si>
  <si>
    <t>Altri crediti (C-II-4-c)</t>
  </si>
  <si>
    <t>RIDUZIONE F.C.D.E.</t>
  </si>
  <si>
    <t>VALORE 
FINALE</t>
  </si>
  <si>
    <t>Giorni di</t>
  </si>
  <si>
    <t xml:space="preserve">Importo </t>
  </si>
  <si>
    <t>competenza</t>
  </si>
  <si>
    <t>risconto</t>
  </si>
  <si>
    <t>CAUSALE</t>
  </si>
  <si>
    <t>DA DATA</t>
  </si>
  <si>
    <t>A DATA</t>
  </si>
  <si>
    <t>(importo totale)</t>
  </si>
  <si>
    <t>attivo</t>
  </si>
  <si>
    <t>passivo</t>
  </si>
  <si>
    <t>QUANDO SI PRENDE IN ESAME UN ANNO BISESTILE METTERE 366 GIORNI NELLA FORMULA</t>
  </si>
  <si>
    <t>SE IL PERIODO DI COPERTURA NON E' DI 365 GIORNI (O E' MENSILE) MODIFICARE LA FORMULA</t>
  </si>
  <si>
    <t>Totale risconti attivi</t>
  </si>
  <si>
    <t>Totale risconti passivi</t>
  </si>
  <si>
    <t>Capitolo</t>
  </si>
  <si>
    <t>Voce conto</t>
  </si>
  <si>
    <t>economico</t>
  </si>
  <si>
    <t>FONDI PER RISCHI ED ONERI
(allegato A/1 al risultato di amministrazione)</t>
  </si>
  <si>
    <t>IVA A CREDITO INIZIALE:</t>
  </si>
  <si>
    <t>IVA A DEBITO INIZIALE:</t>
  </si>
  <si>
    <t>VERSAMENTI:</t>
  </si>
  <si>
    <t>INTERESSI:</t>
  </si>
  <si>
    <t>TOTALE CREDITI:</t>
  </si>
  <si>
    <t>TOTALE DEBITI:</t>
  </si>
  <si>
    <t>RESIDUI INIZIALI PER QUOTE CAPITALI</t>
  </si>
  <si>
    <t>IMPEGNI DI COMPETENZA PER QUOTA CAPITALI</t>
  </si>
  <si>
    <t>C-IV-2</t>
  </si>
  <si>
    <t>Considerare sia alienazioni materiali che finanziarie</t>
  </si>
  <si>
    <t>PLUSVALENZA</t>
  </si>
  <si>
    <t>MINUSVALENZA</t>
  </si>
  <si>
    <t>MINORI RESIDUI</t>
  </si>
  <si>
    <t>ALTRE SITUAZIONI PARTICOLARI</t>
  </si>
  <si>
    <t>Riepilogo finale risconti attivi</t>
  </si>
  <si>
    <t>VOCE C.E.</t>
  </si>
  <si>
    <t>TOTALE</t>
  </si>
  <si>
    <t>Riepilogo finale risconti passivi</t>
  </si>
  <si>
    <t>Nota operativa: inserire manualmente le variazioni nelle colonne più opportune</t>
  </si>
  <si>
    <t>VARIAZIONE +/-
ALTRE CAUSE</t>
  </si>
  <si>
    <t>Nota operativa: inserire manualmente le variazioni agendo sulla sola colonna</t>
  </si>
  <si>
    <t>dovrà contenere solo queste operazioni (ad eccezione della riga "risultato economico</t>
  </si>
  <si>
    <t>dell'esercizio" che può contenere altre formule)</t>
  </si>
  <si>
    <t>Voci non associate direttamente al conto economico da analizzare, verificare e (nel caso) riportare nelle voci più opportune</t>
  </si>
  <si>
    <t>VERIFICHE FINALI DI COINCIDENZA</t>
  </si>
  <si>
    <t>Da stato patrimoniale</t>
  </si>
  <si>
    <t>Da conto economico</t>
  </si>
  <si>
    <t>Differenza (deve risultare zero)</t>
  </si>
  <si>
    <t>VERIFICA 2 - Variazione patrimonio netto</t>
  </si>
  <si>
    <t xml:space="preserve">Variazione patrimonio netto </t>
  </si>
  <si>
    <t>Risultato economico di esercizio</t>
  </si>
  <si>
    <t>Incremento riserve da permessi di costruire</t>
  </si>
  <si>
    <t>Permessi di costruire restituiti</t>
  </si>
  <si>
    <t>Variazione riserve imm. Finanziarie</t>
  </si>
  <si>
    <t>Nota operativa: i crediti stralciati rimangono nello stato patrimoniale ma interamente coperti dal fondo svalutazione crediti, quindi risultano invisibili e non ha senso</t>
  </si>
  <si>
    <t>riportarli nelle formule; l'automatismo quindi interessa solo le formule del conto economico come maggiore accantonamento fondi e come minori insussistenza dell'attivo</t>
  </si>
  <si>
    <t>Intervenire manualmente solo se il fondo andrà a diminuire per eliminazione definitiva crediti stralciati in passato.</t>
  </si>
  <si>
    <t>AD ECCEZIONE DEL TITOLO 4° TIP. 200 (E DEI CREDITI STRALCIATI CHE RIMANGONO NELLO STATO PATRIMONIALE)</t>
  </si>
  <si>
    <t>RESIDUI STRALCIATI
DA MANTENERE</t>
  </si>
  <si>
    <t>Oggetto</t>
  </si>
  <si>
    <t>DATA</t>
  </si>
  <si>
    <t>Contributi agli investimenti ad Amministrazioni pubbliche</t>
  </si>
  <si>
    <t>Altri (da specificare)</t>
  </si>
  <si>
    <t>di cui recupero ammortamento su residui eliminati</t>
  </si>
  <si>
    <t>importo</t>
  </si>
  <si>
    <t>anni 
trascorsi</t>
  </si>
  <si>
    <r>
      <t xml:space="preserve">delle </t>
    </r>
    <r>
      <rPr>
        <b/>
        <i/>
        <sz val="11"/>
        <color theme="3"/>
        <rFont val="Calibri"/>
        <family val="2"/>
        <scheme val="minor"/>
      </rPr>
      <t>variazioni meno da altre cause</t>
    </r>
    <r>
      <rPr>
        <i/>
        <sz val="11"/>
        <color rgb="FFFF0000"/>
        <rFont val="Calibri"/>
        <family val="2"/>
        <scheme val="minor"/>
      </rPr>
      <t xml:space="preserve"> (con + e - a compensazione); tale colonna</t>
    </r>
  </si>
  <si>
    <t>CREDITI</t>
  </si>
  <si>
    <t>DEBITI</t>
  </si>
  <si>
    <t xml:space="preserve">Nota operativa: inserire manualmente i dati nello stato patrimoniale </t>
  </si>
  <si>
    <t>Importo</t>
  </si>
  <si>
    <t>Distribuzione IVA nel conto economico -&gt;</t>
  </si>
  <si>
    <t>B-9</t>
  </si>
  <si>
    <t>B-10</t>
  </si>
  <si>
    <t>B-18</t>
  </si>
  <si>
    <t>A-4-a</t>
  </si>
  <si>
    <t>A-4-b</t>
  </si>
  <si>
    <t>A-4-c</t>
  </si>
  <si>
    <t>A-8</t>
  </si>
  <si>
    <t>A-3-a</t>
  </si>
  <si>
    <t>A-1</t>
  </si>
  <si>
    <t>A-2</t>
  </si>
  <si>
    <t>A-3-c</t>
  </si>
  <si>
    <t>C-19-a</t>
  </si>
  <si>
    <t>C-19-b</t>
  </si>
  <si>
    <t>C-19-c</t>
  </si>
  <si>
    <t>C-20</t>
  </si>
  <si>
    <t>E-24-b</t>
  </si>
  <si>
    <t>E-24-e</t>
  </si>
  <si>
    <t>B-11</t>
  </si>
  <si>
    <t>B-12-a</t>
  </si>
  <si>
    <t>B-13</t>
  </si>
  <si>
    <t>C-21-a</t>
  </si>
  <si>
    <t>E-25-b</t>
  </si>
  <si>
    <t>Verificare e gestire eventuali maggiori entrate</t>
  </si>
  <si>
    <t>IMMOBILIZZAZIONI IMMATERIALI IN CORSO</t>
  </si>
  <si>
    <t>IMMOBILIZZAZIONI IMMATERIALI - ALTRE</t>
  </si>
  <si>
    <t>TERRENI DEMANIALI</t>
  </si>
  <si>
    <t>FABBRICATI DEMANIALI</t>
  </si>
  <si>
    <t>INFRASTRUTTURE DEMANIALI</t>
  </si>
  <si>
    <t>ALTRI BENI DEMANIALI</t>
  </si>
  <si>
    <t xml:space="preserve">TERRENI  </t>
  </si>
  <si>
    <t xml:space="preserve">FABBRICATI  </t>
  </si>
  <si>
    <t>ATTREZZATURE INDUSTRIALI E COMMERCIALI</t>
  </si>
  <si>
    <t>MEZZI DI TRASPORTO</t>
  </si>
  <si>
    <t>MACCHINE PER UFFICIO E HARDWARE</t>
  </si>
  <si>
    <t>MOBILI E ARREDI</t>
  </si>
  <si>
    <t>ALTRI BENI MATERIALI</t>
  </si>
  <si>
    <t>IMMOBILIZZAZIONI IN CORSO</t>
  </si>
  <si>
    <t>DATI DI PARTENZA IMMOBILIZZAZIONI</t>
  </si>
  <si>
    <t>DATI DI PARTENZA PATRIMONIO NETTO</t>
  </si>
  <si>
    <t>FONDO DI DOTAZIONE</t>
  </si>
  <si>
    <t>RISERVE DA CAPITALE</t>
  </si>
  <si>
    <t>RISERVE INDISPONIBILI BENI DEM/IND/CULT</t>
  </si>
  <si>
    <t>ALTRE RISERVE DISPONIBILI</t>
  </si>
  <si>
    <t>ALTRE RISERVE INDISPONIBILI</t>
  </si>
  <si>
    <t>RISULTATO ECONOMICO DELL'ESERCIZIO</t>
  </si>
  <si>
    <t>RISULTATI ECONOMICI DI ESERCIZI PRECEDENTI</t>
  </si>
  <si>
    <t>RISERVE NEGATIVE PER BENI INDISPONIBILI</t>
  </si>
  <si>
    <t>IMPIANTI E MACCHINARI</t>
  </si>
  <si>
    <t xml:space="preserve">INFRASTRUTTURE  </t>
  </si>
  <si>
    <t>P       A       T       R       I       M       O       N       I       A       L       I</t>
  </si>
  <si>
    <t xml:space="preserve">Impianti e </t>
  </si>
  <si>
    <t>macchinari</t>
  </si>
  <si>
    <t>(ovvero var + se aumenta e var - se diminuisce)</t>
  </si>
  <si>
    <t>AD ECCEZIONE DEL TITOLO 4° TIP. 200</t>
  </si>
  <si>
    <t>Nota operativa: verificare coincidenza con importi pagina "Altre cause" (SE CI SONO OPERE A SCOMPUTO TOGLILE DALLA FORMULA)</t>
  </si>
  <si>
    <t>DA STATO PATRIMONIALE ANNO PRECEDENTE</t>
  </si>
  <si>
    <t>DA BILANCI FINANZIARI ENTRATA/SPESA</t>
  </si>
  <si>
    <t>A</t>
  </si>
  <si>
    <t>DA RISULTATO DI AMMINISTRAZIONE E ALLEGATI</t>
  </si>
  <si>
    <t>DATI EXTRACONTABILI</t>
  </si>
  <si>
    <t>B</t>
  </si>
  <si>
    <t>B-1</t>
  </si>
  <si>
    <t>B-2</t>
  </si>
  <si>
    <t>B-3</t>
  </si>
  <si>
    <t>B-4</t>
  </si>
  <si>
    <t>C</t>
  </si>
  <si>
    <t>C-1</t>
  </si>
  <si>
    <t>C-2</t>
  </si>
  <si>
    <t>C-3</t>
  </si>
  <si>
    <t>C-4</t>
  </si>
  <si>
    <t>C-5</t>
  </si>
  <si>
    <t>D</t>
  </si>
  <si>
    <t>D-1</t>
  </si>
  <si>
    <t>D-4</t>
  </si>
  <si>
    <t>D-5</t>
  </si>
  <si>
    <t>D-6</t>
  </si>
  <si>
    <t>D-7</t>
  </si>
  <si>
    <t>D-8</t>
  </si>
  <si>
    <t>E</t>
  </si>
  <si>
    <t>FONDO ANTICIPAZIONE LIQUIDITA'</t>
  </si>
  <si>
    <t>Già registrato nel residuo debito mutui - non influisce tra i fondi nello stato patrimoniale</t>
  </si>
  <si>
    <t>FONDO PERDITE SOCIETA' PARTECIPATE (COSTO)</t>
  </si>
  <si>
    <t>FONDO PERDITE SOCIETA' PARTECIPATE (P.N.)</t>
  </si>
  <si>
    <t>Se la società è stata valutata al costo il fondo va registrato nello stato patrimoniale</t>
  </si>
  <si>
    <t>Se la società è stata valutata al patrimonio netto il fondo non influisce nello stato patrimoniale</t>
  </si>
  <si>
    <t>FONDO CONTENZIOSO (FONDI RISCHI)</t>
  </si>
  <si>
    <t>FONDO INDENNITA' FINE MANDATO SINDACO</t>
  </si>
  <si>
    <t>FONDO RINNOVI CONTRATTUALI</t>
  </si>
  <si>
    <t>FONDO GARANZIA DEBITI COMMERCIALI</t>
  </si>
  <si>
    <t>Non influisce tra i fondi nello stato patrimoniale</t>
  </si>
  <si>
    <t>ALTRI 2</t>
  </si>
  <si>
    <t>FONDI PER IMPOSTE</t>
  </si>
  <si>
    <t>Totale accantonamenti per rischi</t>
  </si>
  <si>
    <t>Totale altri accantonamenti</t>
  </si>
  <si>
    <t xml:space="preserve">RIDUZIONE FONDI RISCHI </t>
  </si>
  <si>
    <t>RIDUZIONE ALTRI ACCANTONAMENTI</t>
  </si>
  <si>
    <t>C-6</t>
  </si>
  <si>
    <t>FONDI COVID 
(allegato A/2 al risultato di amministrazione)</t>
  </si>
  <si>
    <t>TRASFERIMENTI COVID</t>
  </si>
  <si>
    <t>SOLO FONDO COVID O ANCHE ALTRI FONDI ("FONDO FUNZIONI FONDAMENTALI")?</t>
  </si>
  <si>
    <t>ANALOGAMENTE INSERISCI IN INCREMENTO (ATTIVO E PASSIVO) I MUTUI INCASSATI A RESIDUO</t>
  </si>
  <si>
    <t>CONCILIAZIONE TRA RESIDUI ATTIVI DEL CONTO DEL BILANCIO E CREDITI</t>
  </si>
  <si>
    <t>(+)</t>
  </si>
  <si>
    <t>CREDITI DELLO STATO PATRIMONIALE</t>
  </si>
  <si>
    <t>FONDO SVALUTAZIONE CREDITI</t>
  </si>
  <si>
    <t>RESIDUI ATTIVI DA ENTRATE C/O DEPOSITI BANCARI E POSTALI</t>
  </si>
  <si>
    <t>ALTRI RESIDUI NON CORRELATI A CREDITI DELLO STATO PATRIMONIALE</t>
  </si>
  <si>
    <t xml:space="preserve">(-) </t>
  </si>
  <si>
    <t>SALDO IVA A CREDITO AL 31.12</t>
  </si>
  <si>
    <t>(-)</t>
  </si>
  <si>
    <t>CREDITI STRALCIATI</t>
  </si>
  <si>
    <t>ALTRI CREDITI NON CORRELATI A RESIDUI</t>
  </si>
  <si>
    <t>RESIDUI ATTIVI =</t>
  </si>
  <si>
    <t>CONCILIAZIONE TRA RESIDUI PASSIVI DEL CONTO DEL BILANCIO E DEBITI</t>
  </si>
  <si>
    <t>DEBITI DA FINANZIAMENTO</t>
  </si>
  <si>
    <t>SALDO IVA (A DEBITO)</t>
  </si>
  <si>
    <t xml:space="preserve">(+) </t>
  </si>
  <si>
    <t>RESIDUO TITOLO IV + INTERESSI MUTUO</t>
  </si>
  <si>
    <t>RESIDUO TITOLO V ANTICIPAZIONI</t>
  </si>
  <si>
    <t>IMPEGNI PLURIENNALI TITOLO III E IV</t>
  </si>
  <si>
    <t>ALTRI RESIDUI NON CONNESSI A DEBITI</t>
  </si>
  <si>
    <t>RESIDUI PASSIVI =</t>
  </si>
  <si>
    <t>CONCILIAZIONE TRA RISULTATO ECONOMICO E VARIAZIONE PATRIMONIO NETTO</t>
  </si>
  <si>
    <t>PATRIMONIO NETTO FINALE</t>
  </si>
  <si>
    <t>PATRIMONIO NETTO INIZIALE</t>
  </si>
  <si>
    <t>RISULTATO ECONOMICO DI ESERCIZIO</t>
  </si>
  <si>
    <t>ACCERTAMENTI PERMESSI DI COSTRUIRE DESTINATI A INVESTIMENTI</t>
  </si>
  <si>
    <t>QUADRATURA FINALE =</t>
  </si>
  <si>
    <t>CONTRIBUTI PERMESSI DI COSTRUIRE RESTITUITI</t>
  </si>
  <si>
    <t>INCREMENTO VALORE PARTECIPAZIONI CON METODO PATRIMONIO NETTO</t>
  </si>
  <si>
    <t>E-24-c</t>
  </si>
  <si>
    <t>DA ACCERTAMENTI DI COMPETENZA</t>
  </si>
  <si>
    <t>CONTO ECO</t>
  </si>
  <si>
    <t>SEMPLIFICATO</t>
  </si>
  <si>
    <t>ESERCIZI PRECEDENTI (AD ESEMPIO SE L'INIZIALE E' NEGATIVO E CI SONO RISERVE PER IMPINGUARLO)</t>
  </si>
  <si>
    <t>INTEGRARE FORMULA IN CASO DI EVENTUALI MOVIMENTI AVVENUTI SUI RISULTATI ECONOMICI</t>
  </si>
  <si>
    <t>VERIFICARE SULLE VOCI INIZIALI NEGATIVE LA DISPONIBILITA' DI RISERVE DISPONIBILI PER IMPINGUARLE</t>
  </si>
  <si>
    <t>VERIFICA 1a - Risultato economico di esercizio</t>
  </si>
  <si>
    <t>VERIFICA 1b - Risultato economico di esercizio</t>
  </si>
  <si>
    <t>NB: se l'accertamento avviene l'esercizio precedente alla effettiva cessione del bene, questo va mantenuto in patrimonio</t>
  </si>
  <si>
    <t>e l'accertamento riportato nello stato patrimoniale passivo alla voce D-3 Acconti. Al momento della cessione ufficiale si</t>
  </si>
  <si>
    <t>CONTI CORRENTI POSTALI</t>
  </si>
  <si>
    <t>NOTA BENE: CONFRONTA SEMPRE I VERSAMENTI INDICATI IN DICHIARAZIONE</t>
  </si>
  <si>
    <t xml:space="preserve">CON QUELLI EFFETTIVI IMPEGNATI/PAGATI IN BILANCIO PERCHE' NELLA </t>
  </si>
  <si>
    <t>DICHIARAZIONE POTREBBERO ESSERE INDICATI NEI VERSAMENTI ANCHE</t>
  </si>
  <si>
    <t>QUELLI ESEGUITI A INIZIO (E DI COMPETENZA) DELL'ANNO SUCCESSIVO</t>
  </si>
  <si>
    <t>Differenza tra l'importo accertato al titolo 4° tipologia 400 per entrate da alienazione di beni immateriali e materiali e l'effettiva diminuzione del valore del patrimonio parte immobilizzazioni</t>
  </si>
  <si>
    <t>diminuirà il valore delle immobilizzazioni, si eliminerà la voce D-3 e la differenza costituirà plus/minusvalenza</t>
  </si>
  <si>
    <t>C-7</t>
  </si>
  <si>
    <t>Altri crediti - altri (C-II-4-c)</t>
  </si>
  <si>
    <t>Altri crediti - conto terzi (C-II-4-b)</t>
  </si>
  <si>
    <t>CONTI 
CORRENTI
INIZIALI</t>
  </si>
  <si>
    <t>CONTI 
CORRENTI
FINALI</t>
  </si>
  <si>
    <t>RIDUZIONE F.S.C.</t>
  </si>
  <si>
    <t>CREDITI STRALCIATI ELIMINATI DEFINITIVAMENTE</t>
  </si>
  <si>
    <t>VECCHI RESIDUI 
STRALCIATI 
DA ELIMINARE</t>
  </si>
  <si>
    <r>
      <t xml:space="preserve">Euro </t>
    </r>
    <r>
      <rPr>
        <sz val="11"/>
        <color rgb="FFFF0000"/>
        <rFont val="Calibri"/>
        <family val="2"/>
        <scheme val="minor"/>
      </rPr>
      <t xml:space="preserve">xxxxxxxxx </t>
    </r>
    <r>
      <rPr>
        <sz val="11"/>
        <color theme="1"/>
        <rFont val="Calibri"/>
        <family val="2"/>
        <scheme val="minor"/>
      </rPr>
      <t xml:space="preserve">per incrementi immobilizzazioni non collegati a impegni di competenza del titolo 2°-3° spesa
Euro </t>
    </r>
    <r>
      <rPr>
        <sz val="11"/>
        <color rgb="FFFF0000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 xml:space="preserve"> per maggiori accertamenti in entrata (ad eccezione del titolo 4° tip. 200)
Euro </t>
    </r>
    <r>
      <rPr>
        <sz val="11"/>
        <color rgb="FFFF0000"/>
        <rFont val="Calibri"/>
        <family val="2"/>
        <scheme val="minor"/>
      </rPr>
      <t>xxxxxxxx</t>
    </r>
    <r>
      <rPr>
        <sz val="11"/>
        <color theme="1"/>
        <rFont val="Calibri"/>
        <family val="2"/>
        <scheme val="minor"/>
      </rPr>
      <t xml:space="preserve"> per minori residui passivi eliminati (ad eccezione del titolo 2°)
Euro </t>
    </r>
    <r>
      <rPr>
        <sz val="11"/>
        <color rgb="FFFF0000"/>
        <rFont val="Calibri"/>
        <family val="2"/>
        <scheme val="minor"/>
      </rPr>
      <t>xxxxxxxx</t>
    </r>
    <r>
      <rPr>
        <sz val="11"/>
        <color theme="1"/>
        <rFont val="Calibri"/>
        <family val="2"/>
        <scheme val="minor"/>
      </rPr>
      <t xml:space="preserve"> per riduzione accantonamento a fondo crediti di dubbia esigibilità
Euro </t>
    </r>
    <r>
      <rPr>
        <sz val="11"/>
        <color rgb="FFFF0000"/>
        <rFont val="Calibri"/>
        <family val="2"/>
        <scheme val="minor"/>
      </rPr>
      <t>xxxxxxxx</t>
    </r>
    <r>
      <rPr>
        <sz val="11"/>
        <color theme="1"/>
        <rFont val="Calibri"/>
        <family val="2"/>
        <scheme val="minor"/>
      </rPr>
      <t xml:space="preserve"> per riduzione accantonamento a fondo svalutazione crediti
Euro </t>
    </r>
    <r>
      <rPr>
        <sz val="11"/>
        <color rgb="FFFF0000"/>
        <rFont val="Calibri"/>
        <family val="2"/>
        <scheme val="minor"/>
      </rPr>
      <t xml:space="preserve">xxxxxxxx </t>
    </r>
    <r>
      <rPr>
        <sz val="11"/>
        <color theme="1"/>
        <rFont val="Calibri"/>
        <family val="2"/>
        <scheme val="minor"/>
      </rPr>
      <t xml:space="preserve">per riduzione accantonamento a fondi per rischi
Euro </t>
    </r>
    <r>
      <rPr>
        <sz val="11"/>
        <color rgb="FFFF0000"/>
        <rFont val="Calibri"/>
        <family val="2"/>
        <scheme val="minor"/>
      </rPr>
      <t xml:space="preserve">xxxxxxxx </t>
    </r>
    <r>
      <rPr>
        <sz val="11"/>
        <rFont val="Calibri"/>
        <family val="2"/>
        <scheme val="minor"/>
      </rPr>
      <t>per riduzione accantonamento ad altri fondi</t>
    </r>
  </si>
  <si>
    <r>
      <t xml:space="preserve">Euro </t>
    </r>
    <r>
      <rPr>
        <sz val="11"/>
        <color rgb="FFFF0000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 xml:space="preserve"> per impegni di competenza per rimborso tributi 
Euro </t>
    </r>
    <r>
      <rPr>
        <sz val="11"/>
        <color rgb="FFFF0000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 xml:space="preserve"> per minori residui attivi eliminati (ad eccezione del titolo 4° tip. 200)
Euro </t>
    </r>
    <r>
      <rPr>
        <sz val="11"/>
        <color rgb="FFFF0000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 xml:space="preserve"> per eliminazione definitiva crediti precedentemente stralciati e mantenuti nello stato patrimoniale</t>
    </r>
  </si>
  <si>
    <t>MAGGIORE ENTRATA DA P.A.</t>
  </si>
  <si>
    <t>ELIMINAZIONE IMPORTI NO TIT. 2</t>
  </si>
  <si>
    <t>CREDITI 2025:</t>
  </si>
  <si>
    <t>DEBITI 2025:</t>
  </si>
  <si>
    <t>IMPEGNO 2025</t>
  </si>
  <si>
    <t>anno 2026</t>
  </si>
  <si>
    <t>ACCERT 2025</t>
  </si>
  <si>
    <t xml:space="preserve">COMUNE DI BIANZANO (BG)  -  CONTO ECONOMICO  - </t>
  </si>
  <si>
    <t xml:space="preserve">COMUNE DI BIANZANO (BG)  -  STATO PATRIMONIALE ATTIVO  - </t>
  </si>
  <si>
    <t xml:space="preserve">COMUNE DI BIANZANO (BG)  -  STATO PATRIMONIALE PASSIVO  - </t>
  </si>
  <si>
    <t>SVALUTAZIONE CREDITI</t>
  </si>
  <si>
    <t>UNIACQUE</t>
  </si>
  <si>
    <t>VAL CAVALLINA SERVIZI</t>
  </si>
  <si>
    <t>1.01.01.06.001</t>
  </si>
  <si>
    <t>I.M.U.</t>
  </si>
  <si>
    <t>1.01.01.06.002</t>
  </si>
  <si>
    <t>IMU ANNI PREGRESSI</t>
  </si>
  <si>
    <t>1.01.01.16.001</t>
  </si>
  <si>
    <t>ADDIZIONALE COMUNALE IRPEF</t>
  </si>
  <si>
    <t>1.01.01.51.001</t>
  </si>
  <si>
    <t>TASSA PER LO SMALTIMENTO RIFIUTI SOLIDI/TARES/TIA</t>
  </si>
  <si>
    <t>1.01.01.99.001</t>
  </si>
  <si>
    <t>DESTINAZIONE 5 PER MILLE IRPEF CITTADINI PER ATTIVITA' SOCIALI COMUNALI</t>
  </si>
  <si>
    <t>2.01.01.01.000</t>
  </si>
  <si>
    <t>FSC INCREMENTO ASILI NIDO (ART. 1 C. 449 LETT. D SEXIES L. 232/2016)</t>
  </si>
  <si>
    <t>2.01.01.01.001</t>
  </si>
  <si>
    <t>CONTRIBUTI DELLO STATO</t>
  </si>
  <si>
    <t>CONTRIBUTO GESTIONE SERVIZI INFORMATICI</t>
  </si>
  <si>
    <t>2.01.01.02.001</t>
  </si>
  <si>
    <t>CONTRIBUTO REGIONALE BANDO "OGNI GIORNO IN LOMBARDIA"</t>
  </si>
  <si>
    <t>2.01.01.02.018</t>
  </si>
  <si>
    <t>RIMBORSO FONDO DI SOLIDARIETA' - CONSORZIO SERVIZI VALLE CAVALLINA</t>
  </si>
  <si>
    <t>2.01.04.01.001</t>
  </si>
  <si>
    <t>CONTRIBUTI PER REDAZIONE TESTO STORICO</t>
  </si>
  <si>
    <t>3.01.02.01.004</t>
  </si>
  <si>
    <t>CONCORSO SPESE PER ATTIVITA' PARASCOLASTICHE</t>
  </si>
  <si>
    <t>3.01.02.01.014</t>
  </si>
  <si>
    <t>PROVENTI DELL'ILLUMINAZIONE VOTIVA</t>
  </si>
  <si>
    <t>3.01.02.01.021</t>
  </si>
  <si>
    <t>PROVENTI DA PRIVATI PER VENDITA TESSERE E SACCHI PER RACCOLTA RIFIUTO SECCO</t>
  </si>
  <si>
    <t>3.01.02.01.033</t>
  </si>
  <si>
    <t>DIRITTI DI SEGRETERIA</t>
  </si>
  <si>
    <t>DIRITTI DI SEGRETERIA A TOTALE VANTAGGIO DEL COMUNE</t>
  </si>
  <si>
    <t>DIRITTI PER IL RILASCIO DELLE CARTE D'IDENTITA'</t>
  </si>
  <si>
    <t>3.01.02.01.999</t>
  </si>
  <si>
    <t>COMPARTECIPAZIONE UTENTI PER SERVIZIO SAD</t>
  </si>
  <si>
    <t>3.01.03.01.000</t>
  </si>
  <si>
    <t>CANONE UNICO PATRIMONIALE</t>
  </si>
  <si>
    <t>3.01.03.01.003</t>
  </si>
  <si>
    <t>PROVENTI DI TAGLI ORDINARI DI BOSCHI</t>
  </si>
  <si>
    <t>PROVENTI CONCESSIONE SERVIZIO IDRICO INTEGRATO - UNIACQUE -</t>
  </si>
  <si>
    <t>PROVENTI DERIVANTI DALLA CONCESSIONE DI LOCULI CIMITERIALI</t>
  </si>
  <si>
    <t>3.03.03.04.001</t>
  </si>
  <si>
    <t>INTERESSI ATTIVI SULLE GIACENZE DI CASSA</t>
  </si>
  <si>
    <t>3.05.99.99.999</t>
  </si>
  <si>
    <t>SANZIONI AMMINISTRATIVE PER VIOLAZIONE REGOLAMENTI COMUNALI</t>
  </si>
  <si>
    <t>INTROITI E RIMBORSI DIVERSI</t>
  </si>
  <si>
    <t>SPLIT PAYMENT - COMMERCIALE</t>
  </si>
  <si>
    <t>4.02.01.01.001</t>
  </si>
  <si>
    <t>CONTRIBUTO FONDO CONCORSI PROGETTAZIONE E IDEE PER LA COESIONE TERRITORIALE - PROGETTAZIONE EFFICIENTAMENTO ENERGETICO EX SCUOLA PRIMARIA</t>
  </si>
  <si>
    <t>CONTRIBUTO STATO PER ARREDO URBANO</t>
  </si>
  <si>
    <t>CONTRIBUTO DELLA STATO PER MESSA IN SICUREZZA VIA DELLE GHIAIE</t>
  </si>
  <si>
    <t>INVESTIMENTO 1.2 - ABILITAZIONE AL CLOUD PER LE PA LOCALI COMUNI - PNRR FINANZIATO DALL'UNIONE EUROPEA - CUP C31C23003880006</t>
  </si>
  <si>
    <t>INVESTIMENTO 1.4.3 - ADOZIONE APP IO COMUNI- PNRR FINANZIATO DALL'UNIONE EUROPEA -</t>
  </si>
  <si>
    <t>CONTRIBUTO EFFICIENTAMENTO ENERGETICO E SVILUPPO TERRITORIALE PICCOLI COMUNI -</t>
  </si>
  <si>
    <t>CONTRIBUTO EFFICIENTAMENTO ENERGETICO E SVILUPPO TERRITORIALE</t>
  </si>
  <si>
    <t>4.02.01.02.001</t>
  </si>
  <si>
    <t>CONTRIBUTO REGIONALE PER MESSA IN SICUREZZA VIA CIMITERO</t>
  </si>
  <si>
    <t>CONTRIBUTO REGIONALE PER MESSA IN SICUREZZA STRADA COMUNALE DELLA MOIA</t>
  </si>
  <si>
    <t>CONTRIBUTO DELLA REGIONE LAVORI DI RISTRUTTURAZIONE PONTE ANTICO VALLE ROSSA</t>
  </si>
  <si>
    <t>CONTRIBUTO DELLA REGIONE PER ACQUISTO PICK-UP 4x4 PER MANUTENZIONE TERRITORIO</t>
  </si>
  <si>
    <t>4.02.01.02.999</t>
  </si>
  <si>
    <t>EROGAZIONE CONTRIBUTO PER MANUTENZIONE STRAORDINARIA E RECUPERO DEI TERRAZZAMENTI ED ELEMENTI STRUTTURALI DEL PAESAGGIO AGRARIO NEL CONTESTO MONTANO</t>
  </si>
  <si>
    <t>4.02.01.04.001</t>
  </si>
  <si>
    <t>CONTRIBUTO A RIMBORSO DA PARTE DEL CONSORZIO BIM PER ACQUISIZIONE TERRENI E FABBRICATO CON RELATIVA PERTINENZA AI FINI DELLA REALIZZAZIONE DI PARCHEGGI PUBBLICI</t>
  </si>
  <si>
    <t>CONTRIBUTO CONSORZIO BIM SUI FONDI ZONA</t>
  </si>
  <si>
    <t>4.03.10.02.001</t>
  </si>
  <si>
    <t>CONTRIBUTO DELLA REGIONE PER CONCESSIONE ACQUE MINERALI E TERMALI</t>
  </si>
  <si>
    <t>4.05.01.01.001</t>
  </si>
  <si>
    <t>PROVENTI DERIVANTI DALLE CONCESSIONI EDILIZIE</t>
  </si>
  <si>
    <t>E-24-a</t>
  </si>
  <si>
    <t>9.01.02.01.001</t>
  </si>
  <si>
    <t>RITENUTE ERARIALI</t>
  </si>
  <si>
    <t>no</t>
  </si>
  <si>
    <t>RITENUTE ERARIALI SU REDDITO DI LAVORO AUTONOMO</t>
  </si>
  <si>
    <t>9.01.02.02.001</t>
  </si>
  <si>
    <t>RITENUTE PREVIDENZIALI ED ASSISTENZIALI AL PERSONALE</t>
  </si>
  <si>
    <t>9.01.02.99.999</t>
  </si>
  <si>
    <t>ADDIZIONALE REGIONALE IRPEF</t>
  </si>
  <si>
    <t>9.01.99.03.001</t>
  </si>
  <si>
    <t>RIMBORSO ANTICIPAZIONE DI FONDI PER SERVIZIO ECONOMATO</t>
  </si>
  <si>
    <t>9.01.99.99.999</t>
  </si>
  <si>
    <t>RITENUTE SPLIT PAYMENT - ISTITUZIONALE</t>
  </si>
  <si>
    <t>9.02.01.02.001</t>
  </si>
  <si>
    <t>RIMBORSO SPESE PER SERVIZI IN CONTO DI TERZI</t>
  </si>
  <si>
    <t>1.01.01.01.002</t>
  </si>
  <si>
    <t>STIPENDIO SEGRETARIO COMUNALE A SCAVALCO</t>
  </si>
  <si>
    <t>01</t>
  </si>
  <si>
    <t>02</t>
  </si>
  <si>
    <t>STIPENDI ED ALTRI ASSEGNI FISSI AL PERSONALE - UFFICIO SEGRETERIA - RAGIONERIA - TRIBUTI</t>
  </si>
  <si>
    <t>STIPENDI ED ALTRI ASSEGNI FISSI AL PERSONALE - UFFICIO ANAGRAFE - STATO CIVILE</t>
  </si>
  <si>
    <t>07</t>
  </si>
  <si>
    <t>STIPENDI ED ALTRI ASSEGNI FISSI AL PERSONALE - AREA TERRITORIO</t>
  </si>
  <si>
    <t>09</t>
  </si>
  <si>
    <t>03</t>
  </si>
  <si>
    <t>1.01.01.01.004</t>
  </si>
  <si>
    <t>FONDO MIGLIORAMENTO EFFICIENZA SERVIZI - UFFICIO SEGRETERIA - RAGIONERIA - TRIBUTI</t>
  </si>
  <si>
    <t>FONDO MIGLIORAMENTO EFFICIENZA SERVIZI - UFFICIO ANAGRAFE - STATO CIVILE</t>
  </si>
  <si>
    <t>FONDO MIGLIORAMENTO EFFICIENZA SERVIZI - AREA TERRITORIO</t>
  </si>
  <si>
    <t>1.01.01.02.002</t>
  </si>
  <si>
    <t>SPESE PER UFFICI - SERVIZIO MENSA PERSONALE DIPENDENTE</t>
  </si>
  <si>
    <t>1.01.02.01.001</t>
  </si>
  <si>
    <t>ONERI PREVIDENZIALI ED ASSISTENZIALI A CARICO DEL COMUNE - SEGRETARIO COMUNALE</t>
  </si>
  <si>
    <t>ONERI PREVIDENZIALI ED ASSISTENZIALI A CARICO DEL COMUNE - UFFICIO SEGRETERIA - RAGIONERIA - TRIBUTI</t>
  </si>
  <si>
    <t>ONERI PREVIDENZIALI ED ASSISTENZIALI A CARICO DEL COMUNE - UFFICIO ANAGRAFE - STATO CIVILE</t>
  </si>
  <si>
    <t>ONERI PREVIDENZIALI ED ASSISTENZIALI A CARICO DEL COMUNE - AREA TERRITORIO</t>
  </si>
  <si>
    <t>1.02.01.01.001</t>
  </si>
  <si>
    <t>IRAP - SEGRETARIO COMUNALE A SCAVALVO</t>
  </si>
  <si>
    <t>IRAP - UFFICIO SEGRETERIA - RAGIONERIA - TRIBUTI</t>
  </si>
  <si>
    <t>IRAP - UFFICIO ANAGRAFE - STATO CIVILE</t>
  </si>
  <si>
    <t>IRAP - AREA TERRITORIO</t>
  </si>
  <si>
    <t>IRAP INDENNITA' DI FUNZIONE SINDACO</t>
  </si>
  <si>
    <t>1.02.01.99.999</t>
  </si>
  <si>
    <t>CENSI, CANONI, IMPOSTE E TASSE RELATIVE AL PATRIMONIO</t>
  </si>
  <si>
    <t>11</t>
  </si>
  <si>
    <t>1.03.01.01.002</t>
  </si>
  <si>
    <t>SPESE PER ACQUISTO LIBRI BIBLIOTECA</t>
  </si>
  <si>
    <t>05</t>
  </si>
  <si>
    <t>REALIZZAZIONE CALENDARIO</t>
  </si>
  <si>
    <t>1.03.01.02.001</t>
  </si>
  <si>
    <t>ACQUISTO STAMPATI E CANCELLERIA - UFFICIO SEGRETERIA - RAGIONERIA - TRIBUTI</t>
  </si>
  <si>
    <t>ACQUISTO STAMPATI E CANCELLERIA - UFFICIO ANAGRAFE - STATO CIVILE</t>
  </si>
  <si>
    <t>1.03.01.02.002</t>
  </si>
  <si>
    <t>ACQUISTO CARBURANTE PER AUTO</t>
  </si>
  <si>
    <t>10</t>
  </si>
  <si>
    <t>MANUTENZIONE AUTOMEZZO - ACQUISTO CARBURANTE</t>
  </si>
  <si>
    <t>SERVIZIO RACCOLTA RIFIUTI - ACQUISTO CARBURANTE</t>
  </si>
  <si>
    <t>1.03.01.02.004</t>
  </si>
  <si>
    <t>SPESE PER IL VESTIARIO DI SERVIZIO AL PERSONALE</t>
  </si>
  <si>
    <t>1.03.01.02.006</t>
  </si>
  <si>
    <t>SPESE PER HARDWARE E SOFTWARE - ACQUISTO BENI DI CONSUMO</t>
  </si>
  <si>
    <t>08</t>
  </si>
  <si>
    <t>1.03.01.02.011</t>
  </si>
  <si>
    <t>SPESE PER ACQUISTO DI BENI DI CONSUMO - FESTIVITA' -</t>
  </si>
  <si>
    <t>ASSISTENZA ALLE PERSONE ANZIANE</t>
  </si>
  <si>
    <t>12</t>
  </si>
  <si>
    <t>1.03.01.02.999</t>
  </si>
  <si>
    <t>FORNITURA GRATUITA LIBRI ALUNNI SCUOLA ELEMENTARE</t>
  </si>
  <si>
    <t>04</t>
  </si>
  <si>
    <t>SPESE PER INIZIATIVE SPORTIVE</t>
  </si>
  <si>
    <t>06</t>
  </si>
  <si>
    <t>MANUTENZIONE PARCHI E GIARDINI</t>
  </si>
  <si>
    <t>1.03.02.01.001</t>
  </si>
  <si>
    <t>INDENNITA' SINDACO,ASSESSORI E CONSIGLIERI</t>
  </si>
  <si>
    <t>1.03.02.01.008</t>
  </si>
  <si>
    <t>COMPENSI E RIMBORSO SPESE AL REVISORE DEI CONTI</t>
  </si>
  <si>
    <t>1.03.02.02.002</t>
  </si>
  <si>
    <t>INDENNITA' E RIMBORSO SPESE PER MISSIONI - PERSONALE UFFICIO ANAGRAFE E STATO CIVILE</t>
  </si>
  <si>
    <t>1.03.02.04.004</t>
  </si>
  <si>
    <t>SPESE PER FORMAZIONE, QUALIFICAZIONE E PERFEZIONAMENTO</t>
  </si>
  <si>
    <t>1.03.02.05.001</t>
  </si>
  <si>
    <t>SPESE PER UFFICI - SPESE TELEFONICHE</t>
  </si>
  <si>
    <t>SPESE DI FUNZIONAMENTO SCUOLE ELEMENTARI - SPESE TELEFONICHE</t>
  </si>
  <si>
    <t>1.03.02.05.004</t>
  </si>
  <si>
    <t>SPESE PER UFFICI - ENERGIA ELETTRICA</t>
  </si>
  <si>
    <t>SPESE DI FUNZIONAMENTO SCUOLE ELEMENTARI - ENERGIA ELETTRICA</t>
  </si>
  <si>
    <t>SPESE PER IL SERVIZIO DI ILLUMINAZIONE VOTIVA - ENERGIA ELETTRICA</t>
  </si>
  <si>
    <t>1.03.02.05.005</t>
  </si>
  <si>
    <t>SPESE PER UFFICI - FORNITURA ACQUA</t>
  </si>
  <si>
    <t>SPESE DI FUNZIONAMENTO SCUOLE ELEMENTARI - FORNITURA ACQUA</t>
  </si>
  <si>
    <t>SPESE PER IL FUNZIONAMENTO IMPIANTI SPORTIVI - ILLUMINAZIONE</t>
  </si>
  <si>
    <t>1.03.02.05.006</t>
  </si>
  <si>
    <t>SPESE PER UFFICI - RISCALDAMENTO</t>
  </si>
  <si>
    <t>SPESE DI FUNZIONAMENTO SCUOLE ELEMENTARI - RISCALDAMENTO</t>
  </si>
  <si>
    <t>1.03.02.07.008</t>
  </si>
  <si>
    <t>SPESE PER UFFICI - NOLEGGIO FOTOCOPIATORE E COPIE</t>
  </si>
  <si>
    <t>1.03.02.07.999</t>
  </si>
  <si>
    <t>SPESE PER FESTE NAZIONALI E SOLENNITA' CIVILI</t>
  </si>
  <si>
    <t>1.03.02.09.001</t>
  </si>
  <si>
    <t>MANUTENZIONE AUTOMEZZO</t>
  </si>
  <si>
    <t>1.03.02.09.004</t>
  </si>
  <si>
    <t>SPESE DI MANUTENZIONE PATRIMONIO DISPONIBILE</t>
  </si>
  <si>
    <t>1.03.02.09.008</t>
  </si>
  <si>
    <t>MANUTENZIONE ORDINARIA STRADE COMUNALI</t>
  </si>
  <si>
    <t>1.03.02.10.001</t>
  </si>
  <si>
    <t>INCARICHI PROFESSIONALI - TECNICI -</t>
  </si>
  <si>
    <t>1.03.02.11.999</t>
  </si>
  <si>
    <t>PRESTAZIONI PROFESSIONALI TECNICO INCARICATO</t>
  </si>
  <si>
    <t>SPESE PER REDAZIONE TESTO STORICO SU BIANZANO</t>
  </si>
  <si>
    <t>1.03.02.13.002</t>
  </si>
  <si>
    <t>SPESE PER UFFICI - PULIZIA UFFICI</t>
  </si>
  <si>
    <t>1.03.02.15.002</t>
  </si>
  <si>
    <t>TRASPORTO BAMBINI ALLA SCUOLA DELL'INFANZIA DI RANZANICO</t>
  </si>
  <si>
    <t>1.03.02.15.004</t>
  </si>
  <si>
    <t>CANONE DI APPALTO SERVIZIO SMALTIMENTO RIFIUTI</t>
  </si>
  <si>
    <t>1.03.02.15.015</t>
  </si>
  <si>
    <t>CONSUMO DI ENERGIA ELETTRICA PER ILLUMINAZIONE PUBBLICA</t>
  </si>
  <si>
    <t>1.03.02.15.999</t>
  </si>
  <si>
    <t>SPESE PER ATTIVITA' PARASCOLASTICHE</t>
  </si>
  <si>
    <t>RIMOZIONE DI NEVE DALL'ABITATO</t>
  </si>
  <si>
    <t>1.03.02.16.002</t>
  </si>
  <si>
    <t>SPESE PER UFFICI - SPESE POSTALI</t>
  </si>
  <si>
    <t>1.03.02.17.002</t>
  </si>
  <si>
    <t>SPESE PER IL SERVIZIO DI TESORERIA</t>
  </si>
  <si>
    <t>1.03.02.19.001</t>
  </si>
  <si>
    <t>SPESE DI GESTIONE SERVIZI INFORMATICI</t>
  </si>
  <si>
    <t>SPESE PER HARDWARE E SOFTWARE - PRESTAZIONI DI SERVIZIO</t>
  </si>
  <si>
    <t>QUOTA ASSISTENZA INFORMATICA</t>
  </si>
  <si>
    <t>SPESE PER UFFICI - ELABORAZIONE STIPENDI</t>
  </si>
  <si>
    <t>1.03.02.99.999</t>
  </si>
  <si>
    <t>MANUTENZIONE AUTOVETTURA COMUNALE</t>
  </si>
  <si>
    <t>SERVIZIO PULMAN MERCATO CASAZZA</t>
  </si>
  <si>
    <t>1.04.01.01.002</t>
  </si>
  <si>
    <t>CONTRIBUTI ALLA SCUOLA SECONDARIA (EX MEDIA)</t>
  </si>
  <si>
    <t>1.04.01.01.009</t>
  </si>
  <si>
    <t>QUOTA TARI UR1 - UR2 - UR3 DA VERSARE ALLA CASSA PER I SERVIZI ENERGETICI ED AMBIENTALI (CSEA)</t>
  </si>
  <si>
    <t>1.04.01.01.012</t>
  </si>
  <si>
    <t>CONTRIBUTI ASSOCIATIVI ANNUALI</t>
  </si>
  <si>
    <t>1.04.01.02.002</t>
  </si>
  <si>
    <t>QUOTA 5% AMMINISTRAZIONE PROVINCIALE PER TARIFFA IGIENE AMBIENTALE</t>
  </si>
  <si>
    <t>1.04.01.02.003</t>
  </si>
  <si>
    <t>SPESE PER LA COMMISSIONE ELETTORALE CIRCONDARIALE</t>
  </si>
  <si>
    <t>SPESE FUNZIONAMENTO SCUOLE MEDIA STATALI - COMUNE DI CASAZZA</t>
  </si>
  <si>
    <t>ADESIONE SISTEMA BIBLIOTECARIO DELLA C.M.V.C.</t>
  </si>
  <si>
    <t>1.04.01.02.006</t>
  </si>
  <si>
    <t>SPESE PER LA PROMOZIONE E LA DIFFUSIONE DELLO SPORT</t>
  </si>
  <si>
    <t>1.04.01.02.017</t>
  </si>
  <si>
    <t>SPESE PER FUNZIONAMENTO UFFICIO DI COLLOCAMENTO</t>
  </si>
  <si>
    <t>1.04.01.02.018</t>
  </si>
  <si>
    <t>SERVIZIO BACKUP REMOTO CON CONSORZIO SERVIZIO VALLE CAVALLINA</t>
  </si>
  <si>
    <t>SPESE SERVIZIO TRASPORTO SCOLASTICO EFFETTUATO DA TERZI</t>
  </si>
  <si>
    <t>FORNITURA GRATUITA LIBRI ALUNNI SCUOLA MEDIA</t>
  </si>
  <si>
    <t>CONTRIBUTO PER REDAZIONE INFORMATIVE LOCALI</t>
  </si>
  <si>
    <t>QUOTA CONSORZIO SERVIZI VAL CAVALLINA PER MONITORAGGIO TERRITORIO E PROTEZIONE CIVILE</t>
  </si>
  <si>
    <t>QUOTA CONCORSO SERVIZIO SMALTIMENTO RIFIUTI</t>
  </si>
  <si>
    <t>SPESE PER ASSISTENZA SAD</t>
  </si>
  <si>
    <t>TRASFERIMENTI ALLA C.M.V.C. PER SERVIZI SOCIALI</t>
  </si>
  <si>
    <t>ASSISTENZA EDUCATIVA SCOLASTICA</t>
  </si>
  <si>
    <t>RETTA DI FREQUENZA PRESSO "CENTRO DIURNO DISABILI LA NUOVA FAMIGLIA DI ENDINE GAIANO - S.M.</t>
  </si>
  <si>
    <t>ATTUAZIONE P.P.I.S.</t>
  </si>
  <si>
    <t>COSTITUZIONE FONDO DI SOLIDARIETA' - CMVC</t>
  </si>
  <si>
    <t>QUOTA SUAP -</t>
  </si>
  <si>
    <t>14</t>
  </si>
  <si>
    <t>1.04.02.02.999</t>
  </si>
  <si>
    <t>EMERGENZA CORONAVIRUS - CONTRIBUTO SOLIDARIETA' ALIMENTARE</t>
  </si>
  <si>
    <t>EROGAZIONE BONUS PRIMO FIGLIO</t>
  </si>
  <si>
    <t>1.04.02.05.999</t>
  </si>
  <si>
    <t>SPESE PER UFFICI - AFFITTO UFFICIO POSTALE</t>
  </si>
  <si>
    <t>EROGAZIONE BORSE DI STUDIO A FAVORE DEGLI STUDENTI</t>
  </si>
  <si>
    <t>EROGAZIONE BONUS GIOVANI COPPIE</t>
  </si>
  <si>
    <t>1.04.04.01.001</t>
  </si>
  <si>
    <t>CONTRIBUTO ALLA SCUOLA DELL'INFANZIA DI RANZANICO</t>
  </si>
  <si>
    <t>CONTRIBUTI DIVERSI</t>
  </si>
  <si>
    <t>CONTRIBUTO AL GRUPPO ALPINI PER INTERVENTI DI MANUTENZIONE STRAORDINARIA STRADE COMUNALI</t>
  </si>
  <si>
    <t>1.07.05.04.003</t>
  </si>
  <si>
    <t>RINEGOZIAZIONE MUTUI CONTRATTI CON LA CASSA DEPOSITI E PRESTITI</t>
  </si>
  <si>
    <t>1.09.99.04.001</t>
  </si>
  <si>
    <t>SGRAVI E RESTITUZIONE DI TRIBUTI</t>
  </si>
  <si>
    <t>1.10.04.01.003</t>
  </si>
  <si>
    <t>ONERI PER LE ASSICURAZIONI - RESPONSABILITA' CIVILE VERSO TERZI</t>
  </si>
  <si>
    <t>1.10.99.99.999</t>
  </si>
  <si>
    <t>RIMBORSO SPESE UNA TANTUM PER RICHIESTE CONTRIBUTI</t>
  </si>
  <si>
    <t>IVA A DEBITO DA VERSARE ALL'ERARIO</t>
  </si>
  <si>
    <t>2.02.01.09.012</t>
  </si>
  <si>
    <t>COSTRUZIONE E MANUTENZIONE OPERE PUBBLICHE - CONTRIBUTO STATO ANNO 2022 - 2023</t>
  </si>
  <si>
    <t>COMPLETAMENTO ARREDO URBANO - CONTRIBUTO STATO ANNO 2022 - 2023</t>
  </si>
  <si>
    <t>RIQUALILFICAZIONE, MESSA IN SICUREZZA E ABBATTIMENTO BARRIERE ARCHITETTONICHE DI STRADE E PIAZZE CVOMUNALI - FINANZIAMENTO L.R. 09/2020 - RIPRESA ECONOMICA</t>
  </si>
  <si>
    <t>MESSA IN SICUREZZA STRADA COMUNALE DELLA MOIA</t>
  </si>
  <si>
    <t>LAVORI DI MESSA IN SICUREZZA VIA DELLE GHIAIE</t>
  </si>
  <si>
    <t>INTERVENTI DI MANUTENZIONE STRAORDINARIA</t>
  </si>
  <si>
    <t>INTERVENTI IN MATERIA DI EFFICIENTAMENTO ENERGETICO - SVILUPPO TERRITORIALE SOSTENIBILE - ADEGUAMENTO E MESSA IN SICUREZZA DI EDIFICI PUBBLICI E DEL PATRIMONIO COMUNALE</t>
  </si>
  <si>
    <t>2.02.01.09.014</t>
  </si>
  <si>
    <t>RISTRUTTURAZIONE PONTE ANTICO VALLE ROSSA</t>
  </si>
  <si>
    <t>2.02.01.09.999</t>
  </si>
  <si>
    <t>PROGETTAZIONE EFFICIENTAMENTO ENERGETICO EX SCUOLA PRIMARIA - CONTRIBUTO FONDO CONCORSI PROGETTAZIONE E IDEE PER LA COESIONE TERRITORIALE</t>
  </si>
  <si>
    <t>17</t>
  </si>
  <si>
    <t>2.02.01.99.999</t>
  </si>
  <si>
    <t>ACQUISTO PICK-UP 4x4 PER MANUTENZIONE DEL TERRITORIO</t>
  </si>
  <si>
    <t>2.02.02.01.999</t>
  </si>
  <si>
    <t>ACQUISIZIONE FABBRICATO CON RELATIVA PERTINENZA AI FINI DELLA REALIZZAZIONE DI PARCHEGGI PUBBLICI</t>
  </si>
  <si>
    <t>ACQUISIZIONE TERRENI AI FINI DELLA REALIZZAZIONE DI PARCHEGGI PUBBLICI</t>
  </si>
  <si>
    <t>2.02.03.02.001</t>
  </si>
  <si>
    <t>RINNOVAMENTO ATTREZZATURE INFORMATICHE NEGLI UFFICI COMUNALI -</t>
  </si>
  <si>
    <t>2.02.03.05.001</t>
  </si>
  <si>
    <t>PRESTAZIONI PROFESSIONALI</t>
  </si>
  <si>
    <t>REDAZIONE PIANO PARTICOLAREGGIATO DEL CENTRO STORICO</t>
  </si>
  <si>
    <t>2.03.01.02.003</t>
  </si>
  <si>
    <t>COMPARTECIPAZIONE SPESE PER POTENZIAMENTO SISTEMA DI VIDEOSORVEGLIANZA</t>
  </si>
  <si>
    <t>B-12-b</t>
  </si>
  <si>
    <t>4.03.01.04.004</t>
  </si>
  <si>
    <t>QUOTE DI CAPITALE PER AMMORTAMENTO MUTUI - QUOTA MEF</t>
  </si>
  <si>
    <t>50</t>
  </si>
  <si>
    <t>7.01.02.01.001</t>
  </si>
  <si>
    <t>99</t>
  </si>
  <si>
    <t>7.01.02.02.001</t>
  </si>
  <si>
    <t>RITENUTE PREVIDENZIALI ED ASSISTENZIALI AL PERSONALE DIPENDENTE</t>
  </si>
  <si>
    <t>7.01.02.99.999</t>
  </si>
  <si>
    <t>ADDIZIONALE IRPEF COMUNALE</t>
  </si>
  <si>
    <t>7.01.03.01.001</t>
  </si>
  <si>
    <t>RITENUTE ERARIALI LAVORO AUTONOMO</t>
  </si>
  <si>
    <t>7.01.99.03.001</t>
  </si>
  <si>
    <t>ANTICIPAZIONE FONDI PER SERVIZIO ECONOMATO</t>
  </si>
  <si>
    <t>7.01.99.99.999</t>
  </si>
  <si>
    <t>VERSAMENTI SPLIT PAYMENT - ISTITUZIONALE</t>
  </si>
  <si>
    <t>7.02.99.99.999</t>
  </si>
  <si>
    <t>SERVIZI PER CONTO DI TERZI</t>
  </si>
  <si>
    <t>FATT. 176 (7/8/2025) - EASYCONN</t>
  </si>
  <si>
    <t>FONDO OBIETTIVI DI FINANZA PUBBLICA</t>
  </si>
  <si>
    <t>FORD RANGER</t>
  </si>
  <si>
    <t>TOYOTA</t>
  </si>
  <si>
    <t>AUTOCARRO</t>
  </si>
  <si>
    <t>GIA' IN BILANCIO</t>
  </si>
  <si>
    <t>DA RISERVE NEGATIVE PER BENI IND A RISERVE BENI DEM/IND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</si>
</sst>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  <numFmt numFmtId="165" formatCode="_-&quot;L.&quot;\ * #,##0_-;\-&quot;L.&quot;\ * #,##0_-;_-&quot;L.&quot;\ * &quot;-&quot;_-;_-@_-"/>
  </numFmts>
  <fonts count="61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8"/>
      <name val="Times New Roman"/>
      <family val="1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8"/>
      <name val="Arial"/>
      <family val="2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3"/>
      <name val="Calibri"/>
      <family val="2"/>
      <scheme val="minor"/>
    </font>
    <font>
      <b/>
      <i/>
      <sz val="13"/>
      <name val="Calibri"/>
      <family val="2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1"/>
      <color theme="1"/>
      <name val="Arial"/>
      <family val="2"/>
    </font>
    <font>
      <sz val="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lightUp"/>
    </fill>
    <fill>
      <patternFill patternType="solid">
        <fgColor theme="9"/>
        <bgColor indexed="64"/>
      </patternFill>
    </fill>
    <fill>
      <patternFill patternType="lightDown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</fills>
  <borders count="9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</borders>
  <cellStyleXfs count="20">
    <xf numFmtId="0" fontId="0" fillId="0" borderId="0"/>
    <xf numFmtId="0" fontId="2" fillId="0" borderId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2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43" fontId="42" fillId="0" borderId="0" applyFont="0" applyFill="0" applyBorder="0" applyAlignment="0" applyProtection="0"/>
  </cellStyleXfs>
  <cellXfs count="527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right"/>
    </xf>
    <xf numFmtId="0" fontId="3" fillId="0" borderId="2" xfId="1" applyFont="1" applyFill="1" applyBorder="1"/>
    <xf numFmtId="0" fontId="3" fillId="0" borderId="3" xfId="1" applyFont="1" applyFill="1" applyBorder="1"/>
    <xf numFmtId="0" fontId="3" fillId="0" borderId="5" xfId="1" applyFont="1" applyFill="1" applyBorder="1" applyAlignment="1">
      <alignment horizontal="right"/>
    </xf>
    <xf numFmtId="0" fontId="3" fillId="0" borderId="6" xfId="1" applyFont="1" applyFill="1" applyBorder="1"/>
    <xf numFmtId="0" fontId="3" fillId="0" borderId="7" xfId="1" applyFont="1" applyFill="1" applyBorder="1"/>
    <xf numFmtId="0" fontId="3" fillId="0" borderId="9" xfId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10" xfId="1" applyFont="1" applyFill="1" applyBorder="1"/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right" wrapText="1"/>
    </xf>
    <xf numFmtId="0" fontId="4" fillId="0" borderId="0" xfId="1" applyFont="1" applyFill="1" applyBorder="1"/>
    <xf numFmtId="0" fontId="6" fillId="0" borderId="0" xfId="1" applyFont="1" applyFill="1" applyBorder="1"/>
    <xf numFmtId="0" fontId="3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right"/>
    </xf>
    <xf numFmtId="0" fontId="3" fillId="0" borderId="9" xfId="1" applyFont="1" applyFill="1" applyBorder="1" applyAlignment="1">
      <alignment horizontal="right" wrapText="1"/>
    </xf>
    <xf numFmtId="0" fontId="3" fillId="0" borderId="10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left" wrapText="1"/>
    </xf>
    <xf numFmtId="20" fontId="3" fillId="0" borderId="0" xfId="1" applyNumberFormat="1" applyFont="1" applyFill="1" applyBorder="1" applyAlignment="1">
      <alignment horizontal="left" wrapText="1"/>
    </xf>
    <xf numFmtId="0" fontId="7" fillId="0" borderId="0" xfId="1" applyFont="1" applyFill="1" applyBorder="1" applyAlignment="1">
      <alignment wrapText="1"/>
    </xf>
    <xf numFmtId="0" fontId="3" fillId="0" borderId="9" xfId="1" quotePrefix="1" applyFont="1" applyFill="1" applyBorder="1" applyAlignment="1">
      <alignment horizontal="right" wrapText="1"/>
    </xf>
    <xf numFmtId="20" fontId="2" fillId="0" borderId="0" xfId="0" quotePrefix="1" applyNumberFormat="1" applyFont="1" applyFill="1" applyBorder="1" applyAlignment="1">
      <alignment horizontal="left" wrapText="1"/>
    </xf>
    <xf numFmtId="0" fontId="7" fillId="0" borderId="0" xfId="1" applyFont="1" applyFill="1" applyBorder="1"/>
    <xf numFmtId="0" fontId="3" fillId="0" borderId="14" xfId="1" applyFont="1" applyFill="1" applyBorder="1" applyAlignment="1">
      <alignment horizontal="right"/>
    </xf>
    <xf numFmtId="0" fontId="3" fillId="0" borderId="15" xfId="1" applyFont="1" applyFill="1" applyBorder="1"/>
    <xf numFmtId="0" fontId="3" fillId="0" borderId="16" xfId="1" applyFont="1" applyFill="1" applyBorder="1"/>
    <xf numFmtId="0" fontId="4" fillId="0" borderId="15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4" fillId="0" borderId="6" xfId="1" applyFont="1" applyFill="1" applyBorder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/>
    <xf numFmtId="0" fontId="3" fillId="0" borderId="1" xfId="1" applyFont="1" applyFill="1" applyBorder="1"/>
    <xf numFmtId="0" fontId="3" fillId="0" borderId="5" xfId="1" applyFont="1" applyFill="1" applyBorder="1"/>
    <xf numFmtId="0" fontId="3" fillId="0" borderId="9" xfId="1" applyFont="1" applyFill="1" applyBorder="1"/>
    <xf numFmtId="0" fontId="4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8" fillId="0" borderId="0" xfId="1" applyFont="1" applyFill="1" applyBorder="1"/>
    <xf numFmtId="0" fontId="8" fillId="0" borderId="10" xfId="1" applyFont="1" applyFill="1" applyBorder="1"/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0" fontId="4" fillId="0" borderId="18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0" fontId="3" fillId="0" borderId="0" xfId="1" applyFont="1"/>
    <xf numFmtId="0" fontId="2" fillId="0" borderId="0" xfId="1" applyFont="1"/>
    <xf numFmtId="0" fontId="5" fillId="0" borderId="2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/>
    </xf>
    <xf numFmtId="0" fontId="4" fillId="0" borderId="24" xfId="1" applyFont="1" applyFill="1" applyBorder="1"/>
    <xf numFmtId="43" fontId="4" fillId="0" borderId="21" xfId="6" applyFont="1" applyFill="1" applyBorder="1" applyAlignment="1">
      <alignment horizontal="center"/>
    </xf>
    <xf numFmtId="43" fontId="3" fillId="0" borderId="12" xfId="6" applyFont="1" applyFill="1" applyBorder="1"/>
    <xf numFmtId="43" fontId="0" fillId="0" borderId="12" xfId="6" applyFont="1" applyFill="1" applyBorder="1" applyAlignment="1">
      <alignment horizontal="center"/>
    </xf>
    <xf numFmtId="43" fontId="4" fillId="0" borderId="13" xfId="6" applyFont="1" applyFill="1" applyBorder="1" applyAlignment="1">
      <alignment horizontal="center"/>
    </xf>
    <xf numFmtId="43" fontId="4" fillId="0" borderId="22" xfId="6" applyFont="1" applyFill="1" applyBorder="1" applyAlignment="1">
      <alignment horizontal="center"/>
    </xf>
    <xf numFmtId="43" fontId="0" fillId="0" borderId="22" xfId="6" applyFont="1" applyFill="1" applyBorder="1" applyAlignment="1">
      <alignment horizontal="center"/>
    </xf>
    <xf numFmtId="43" fontId="4" fillId="0" borderId="23" xfId="6" applyFont="1" applyFill="1" applyBorder="1" applyAlignment="1">
      <alignment horizontal="center"/>
    </xf>
    <xf numFmtId="43" fontId="3" fillId="0" borderId="22" xfId="6" applyFont="1" applyFill="1" applyBorder="1"/>
    <xf numFmtId="43" fontId="4" fillId="0" borderId="25" xfId="6" applyFont="1" applyFill="1" applyBorder="1" applyAlignment="1">
      <alignment horizontal="center"/>
    </xf>
    <xf numFmtId="43" fontId="4" fillId="0" borderId="20" xfId="6" applyFont="1" applyFill="1" applyBorder="1" applyAlignment="1">
      <alignment horizontal="center"/>
    </xf>
    <xf numFmtId="43" fontId="4" fillId="0" borderId="26" xfId="6" applyFont="1" applyFill="1" applyBorder="1" applyAlignment="1">
      <alignment horizontal="center"/>
    </xf>
    <xf numFmtId="43" fontId="4" fillId="0" borderId="27" xfId="6" applyFont="1" applyFill="1" applyBorder="1" applyAlignment="1">
      <alignment horizontal="center"/>
    </xf>
    <xf numFmtId="43" fontId="0" fillId="0" borderId="0" xfId="6" applyFont="1"/>
    <xf numFmtId="0" fontId="12" fillId="0" borderId="0" xfId="0" applyFont="1"/>
    <xf numFmtId="0" fontId="13" fillId="0" borderId="0" xfId="1" applyFont="1" applyFill="1" applyBorder="1"/>
    <xf numFmtId="43" fontId="13" fillId="0" borderId="0" xfId="6" applyFont="1"/>
    <xf numFmtId="0" fontId="13" fillId="0" borderId="0" xfId="0" applyFont="1"/>
    <xf numFmtId="0" fontId="14" fillId="0" borderId="0" xfId="0" applyFont="1"/>
    <xf numFmtId="43" fontId="14" fillId="0" borderId="0" xfId="6" applyFont="1"/>
    <xf numFmtId="43" fontId="0" fillId="0" borderId="0" xfId="6" applyFont="1" applyBorder="1"/>
    <xf numFmtId="0" fontId="0" fillId="0" borderId="0" xfId="0" applyBorder="1"/>
    <xf numFmtId="43" fontId="0" fillId="0" borderId="29" xfId="6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43" fontId="0" fillId="0" borderId="18" xfId="6" applyFont="1" applyBorder="1"/>
    <xf numFmtId="0" fontId="0" fillId="0" borderId="30" xfId="0" applyBorder="1" applyAlignment="1">
      <alignment wrapText="1"/>
    </xf>
    <xf numFmtId="43" fontId="0" fillId="0" borderId="0" xfId="0" applyNumberFormat="1" applyBorder="1"/>
    <xf numFmtId="0" fontId="15" fillId="0" borderId="31" xfId="0" applyFont="1" applyBorder="1"/>
    <xf numFmtId="43" fontId="15" fillId="0" borderId="0" xfId="6" applyFont="1" applyBorder="1"/>
    <xf numFmtId="43" fontId="15" fillId="0" borderId="0" xfId="0" applyNumberFormat="1" applyFont="1" applyBorder="1"/>
    <xf numFmtId="0" fontId="15" fillId="0" borderId="33" xfId="0" applyFont="1" applyBorder="1"/>
    <xf numFmtId="43" fontId="15" fillId="0" borderId="18" xfId="6" applyFont="1" applyBorder="1"/>
    <xf numFmtId="43" fontId="15" fillId="0" borderId="18" xfId="0" applyNumberFormat="1" applyFont="1" applyBorder="1"/>
    <xf numFmtId="0" fontId="15" fillId="2" borderId="28" xfId="0" applyFont="1" applyFill="1" applyBorder="1"/>
    <xf numFmtId="43" fontId="16" fillId="0" borderId="0" xfId="6" applyFont="1"/>
    <xf numFmtId="43" fontId="0" fillId="0" borderId="30" xfId="6" applyFont="1" applyBorder="1"/>
    <xf numFmtId="43" fontId="0" fillId="0" borderId="32" xfId="6" applyFont="1" applyBorder="1"/>
    <xf numFmtId="43" fontId="0" fillId="0" borderId="34" xfId="6" applyFont="1" applyBorder="1"/>
    <xf numFmtId="0" fontId="15" fillId="0" borderId="0" xfId="0" applyFont="1" applyAlignment="1">
      <alignment horizontal="center"/>
    </xf>
    <xf numFmtId="43" fontId="0" fillId="0" borderId="29" xfId="6" applyFont="1" applyBorder="1"/>
    <xf numFmtId="0" fontId="0" fillId="0" borderId="29" xfId="0" applyBorder="1"/>
    <xf numFmtId="0" fontId="15" fillId="2" borderId="35" xfId="0" applyFont="1" applyFill="1" applyBorder="1"/>
    <xf numFmtId="43" fontId="0" fillId="0" borderId="1" xfId="6" applyFont="1" applyFill="1" applyBorder="1" applyAlignment="1">
      <alignment horizontal="center"/>
    </xf>
    <xf numFmtId="43" fontId="3" fillId="0" borderId="9" xfId="6" applyFont="1" applyFill="1" applyBorder="1" applyAlignment="1">
      <alignment horizontal="center" wrapText="1"/>
    </xf>
    <xf numFmtId="43" fontId="3" fillId="0" borderId="9" xfId="6" applyFont="1" applyFill="1" applyBorder="1"/>
    <xf numFmtId="43" fontId="0" fillId="0" borderId="9" xfId="6" applyFont="1" applyFill="1" applyBorder="1" applyAlignment="1">
      <alignment horizontal="center"/>
    </xf>
    <xf numFmtId="43" fontId="4" fillId="0" borderId="9" xfId="6" applyFont="1" applyFill="1" applyBorder="1" applyAlignment="1">
      <alignment horizontal="center"/>
    </xf>
    <xf numFmtId="43" fontId="4" fillId="0" borderId="38" xfId="6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vertical="center" wrapText="1"/>
    </xf>
    <xf numFmtId="43" fontId="0" fillId="0" borderId="24" xfId="6" applyFont="1" applyFill="1" applyBorder="1" applyAlignment="1">
      <alignment horizontal="center"/>
    </xf>
    <xf numFmtId="43" fontId="3" fillId="0" borderId="22" xfId="6" applyFont="1" applyFill="1" applyBorder="1" applyAlignment="1">
      <alignment horizontal="center" wrapText="1"/>
    </xf>
    <xf numFmtId="43" fontId="4" fillId="0" borderId="39" xfId="6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vertical="center" wrapText="1"/>
    </xf>
    <xf numFmtId="0" fontId="4" fillId="0" borderId="1" xfId="1" applyFont="1" applyFill="1" applyBorder="1"/>
    <xf numFmtId="43" fontId="4" fillId="0" borderId="9" xfId="6" applyFont="1" applyFill="1" applyBorder="1"/>
    <xf numFmtId="43" fontId="4" fillId="0" borderId="22" xfId="6" applyFont="1" applyFill="1" applyBorder="1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3" fillId="0" borderId="0" xfId="1" applyFont="1" applyFill="1" applyBorder="1" applyAlignment="1">
      <alignment horizontal="left" wrapText="1"/>
    </xf>
    <xf numFmtId="43" fontId="18" fillId="0" borderId="0" xfId="6" applyFont="1" applyBorder="1"/>
    <xf numFmtId="43" fontId="0" fillId="0" borderId="0" xfId="6" applyFont="1" applyFill="1" applyBorder="1"/>
    <xf numFmtId="0" fontId="15" fillId="0" borderId="40" xfId="0" applyFont="1" applyBorder="1"/>
    <xf numFmtId="0" fontId="15" fillId="0" borderId="41" xfId="0" applyFont="1" applyBorder="1"/>
    <xf numFmtId="0" fontId="0" fillId="0" borderId="41" xfId="0" applyBorder="1"/>
    <xf numFmtId="0" fontId="15" fillId="0" borderId="42" xfId="0" applyFont="1" applyBorder="1"/>
    <xf numFmtId="0" fontId="15" fillId="0" borderId="43" xfId="0" applyFont="1" applyBorder="1"/>
    <xf numFmtId="0" fontId="15" fillId="0" borderId="41" xfId="0" applyFont="1" applyFill="1" applyBorder="1"/>
    <xf numFmtId="0" fontId="0" fillId="0" borderId="43" xfId="0" applyBorder="1"/>
    <xf numFmtId="0" fontId="0" fillId="0" borderId="0" xfId="0" applyFill="1"/>
    <xf numFmtId="0" fontId="0" fillId="0" borderId="44" xfId="0" applyBorder="1"/>
    <xf numFmtId="0" fontId="0" fillId="0" borderId="0" xfId="0" applyFill="1" applyBorder="1"/>
    <xf numFmtId="0" fontId="0" fillId="0" borderId="22" xfId="0" applyFill="1" applyBorder="1"/>
    <xf numFmtId="0" fontId="0" fillId="0" borderId="10" xfId="0" applyBorder="1"/>
    <xf numFmtId="0" fontId="0" fillId="0" borderId="10" xfId="0" applyFill="1" applyBorder="1"/>
    <xf numFmtId="0" fontId="0" fillId="0" borderId="22" xfId="0" applyBorder="1"/>
    <xf numFmtId="0" fontId="0" fillId="0" borderId="45" xfId="0" applyBorder="1"/>
    <xf numFmtId="0" fontId="0" fillId="0" borderId="15" xfId="0" applyBorder="1"/>
    <xf numFmtId="0" fontId="0" fillId="0" borderId="15" xfId="0" applyFill="1" applyBorder="1"/>
    <xf numFmtId="0" fontId="0" fillId="0" borderId="46" xfId="0" applyFill="1" applyBorder="1"/>
    <xf numFmtId="0" fontId="0" fillId="0" borderId="16" xfId="0" applyBorder="1"/>
    <xf numFmtId="0" fontId="0" fillId="0" borderId="16" xfId="0" applyFill="1" applyBorder="1"/>
    <xf numFmtId="0" fontId="0" fillId="0" borderId="46" xfId="0" applyBorder="1"/>
    <xf numFmtId="43" fontId="0" fillId="0" borderId="44" xfId="6" applyFont="1" applyBorder="1"/>
    <xf numFmtId="43" fontId="0" fillId="0" borderId="22" xfId="6" applyFont="1" applyBorder="1"/>
    <xf numFmtId="43" fontId="0" fillId="0" borderId="10" xfId="6" applyFont="1" applyBorder="1"/>
    <xf numFmtId="43" fontId="0" fillId="0" borderId="0" xfId="6" applyFont="1" applyFill="1"/>
    <xf numFmtId="43" fontId="3" fillId="3" borderId="22" xfId="6" applyFont="1" applyFill="1" applyBorder="1"/>
    <xf numFmtId="43" fontId="15" fillId="3" borderId="0" xfId="6" applyFont="1" applyFill="1"/>
    <xf numFmtId="43" fontId="0" fillId="0" borderId="47" xfId="6" applyFont="1" applyBorder="1"/>
    <xf numFmtId="43" fontId="0" fillId="0" borderId="48" xfId="6" applyFont="1" applyBorder="1"/>
    <xf numFmtId="43" fontId="0" fillId="0" borderId="49" xfId="6" applyFont="1" applyBorder="1"/>
    <xf numFmtId="43" fontId="0" fillId="0" borderId="23" xfId="6" applyFont="1" applyBorder="1"/>
    <xf numFmtId="43" fontId="15" fillId="2" borderId="0" xfId="6" applyFont="1" applyFill="1"/>
    <xf numFmtId="43" fontId="15" fillId="2" borderId="0" xfId="6" applyFont="1" applyFill="1" applyAlignment="1">
      <alignment horizontal="right"/>
    </xf>
    <xf numFmtId="43" fontId="15" fillId="0" borderId="0" xfId="6" applyFont="1" applyFill="1"/>
    <xf numFmtId="43" fontId="0" fillId="0" borderId="43" xfId="6" applyFont="1" applyBorder="1"/>
    <xf numFmtId="43" fontId="0" fillId="2" borderId="0" xfId="6" applyFont="1" applyFill="1"/>
    <xf numFmtId="43" fontId="18" fillId="0" borderId="0" xfId="6" applyFont="1"/>
    <xf numFmtId="43" fontId="15" fillId="4" borderId="0" xfId="6" applyFont="1" applyFill="1"/>
    <xf numFmtId="43" fontId="0" fillId="0" borderId="44" xfId="6" applyFont="1" applyFill="1" applyBorder="1"/>
    <xf numFmtId="43" fontId="0" fillId="0" borderId="10" xfId="6" applyFont="1" applyFill="1" applyBorder="1"/>
    <xf numFmtId="43" fontId="0" fillId="0" borderId="45" xfId="6" applyFont="1" applyBorder="1"/>
    <xf numFmtId="43" fontId="0" fillId="0" borderId="15" xfId="6" applyFont="1" applyBorder="1"/>
    <xf numFmtId="43" fontId="0" fillId="0" borderId="15" xfId="6" applyFont="1" applyFill="1" applyBorder="1"/>
    <xf numFmtId="43" fontId="0" fillId="0" borderId="45" xfId="6" applyFont="1" applyFill="1" applyBorder="1"/>
    <xf numFmtId="43" fontId="0" fillId="0" borderId="16" xfId="6" applyFont="1" applyBorder="1"/>
    <xf numFmtId="43" fontId="0" fillId="0" borderId="16" xfId="6" applyFont="1" applyFill="1" applyBorder="1"/>
    <xf numFmtId="43" fontId="0" fillId="0" borderId="46" xfId="6" applyFont="1" applyBorder="1"/>
    <xf numFmtId="43" fontId="0" fillId="5" borderId="47" xfId="6" applyFont="1" applyFill="1" applyBorder="1"/>
    <xf numFmtId="43" fontId="0" fillId="5" borderId="48" xfId="6" applyFont="1" applyFill="1" applyBorder="1"/>
    <xf numFmtId="43" fontId="0" fillId="5" borderId="23" xfId="6" applyFont="1" applyFill="1" applyBorder="1"/>
    <xf numFmtId="43" fontId="0" fillId="4" borderId="0" xfId="6" applyFont="1" applyFill="1"/>
    <xf numFmtId="43" fontId="0" fillId="0" borderId="30" xfId="6" applyFont="1" applyBorder="1" applyAlignment="1">
      <alignment wrapText="1"/>
    </xf>
    <xf numFmtId="43" fontId="4" fillId="0" borderId="50" xfId="6" applyFont="1" applyFill="1" applyBorder="1" applyAlignment="1">
      <alignment horizontal="center"/>
    </xf>
    <xf numFmtId="43" fontId="0" fillId="6" borderId="22" xfId="6" applyFont="1" applyFill="1" applyBorder="1"/>
    <xf numFmtId="43" fontId="0" fillId="6" borderId="23" xfId="6" applyFont="1" applyFill="1" applyBorder="1"/>
    <xf numFmtId="0" fontId="0" fillId="0" borderId="0" xfId="0" applyFill="1" applyBorder="1" applyAlignment="1">
      <alignment wrapText="1"/>
    </xf>
    <xf numFmtId="43" fontId="15" fillId="0" borderId="0" xfId="6" applyFont="1"/>
    <xf numFmtId="43" fontId="0" fillId="0" borderId="0" xfId="7" applyNumberFormat="1" applyFont="1" applyBorder="1"/>
    <xf numFmtId="0" fontId="0" fillId="0" borderId="29" xfId="0" applyFill="1" applyBorder="1" applyAlignment="1">
      <alignment wrapText="1"/>
    </xf>
    <xf numFmtId="43" fontId="0" fillId="0" borderId="18" xfId="6" applyFont="1" applyBorder="1" applyAlignment="1">
      <alignment wrapText="1"/>
    </xf>
    <xf numFmtId="0" fontId="15" fillId="0" borderId="33" xfId="0" applyFont="1" applyFill="1" applyBorder="1"/>
    <xf numFmtId="43" fontId="4" fillId="0" borderId="51" xfId="6" applyFont="1" applyFill="1" applyBorder="1" applyAlignment="1">
      <alignment horizontal="center"/>
    </xf>
    <xf numFmtId="0" fontId="15" fillId="0" borderId="0" xfId="0" applyFont="1"/>
    <xf numFmtId="43" fontId="0" fillId="0" borderId="0" xfId="0" applyNumberFormat="1"/>
    <xf numFmtId="0" fontId="0" fillId="0" borderId="29" xfId="0" applyFont="1" applyFill="1" applyBorder="1"/>
    <xf numFmtId="0" fontId="0" fillId="0" borderId="31" xfId="0" applyFont="1" applyFill="1" applyBorder="1"/>
    <xf numFmtId="0" fontId="0" fillId="0" borderId="33" xfId="0" applyFont="1" applyFill="1" applyBorder="1"/>
    <xf numFmtId="43" fontId="11" fillId="0" borderId="0" xfId="6" applyFont="1" applyFill="1" applyBorder="1"/>
    <xf numFmtId="43" fontId="11" fillId="0" borderId="32" xfId="6" applyFont="1" applyBorder="1"/>
    <xf numFmtId="43" fontId="11" fillId="0" borderId="18" xfId="6" applyFont="1" applyFill="1" applyBorder="1"/>
    <xf numFmtId="43" fontId="11" fillId="0" borderId="34" xfId="6" applyFont="1" applyBorder="1"/>
    <xf numFmtId="0" fontId="0" fillId="7" borderId="0" xfId="0" applyFill="1" applyAlignment="1">
      <alignment wrapText="1"/>
    </xf>
    <xf numFmtId="43" fontId="0" fillId="0" borderId="34" xfId="0" applyNumberFormat="1" applyBorder="1"/>
    <xf numFmtId="0" fontId="3" fillId="0" borderId="0" xfId="1" applyFont="1" applyFill="1" applyBorder="1" applyAlignment="1">
      <alignment horizontal="left" vertical="top" wrapText="1"/>
    </xf>
    <xf numFmtId="0" fontId="24" fillId="0" borderId="0" xfId="1" applyFont="1" applyFill="1" applyBorder="1"/>
    <xf numFmtId="0" fontId="4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/>
    </xf>
    <xf numFmtId="0" fontId="4" fillId="0" borderId="6" xfId="1" applyFont="1" applyFill="1" applyBorder="1" applyAlignment="1">
      <alignment wrapText="1"/>
    </xf>
    <xf numFmtId="43" fontId="3" fillId="0" borderId="22" xfId="6" applyFont="1" applyFill="1" applyBorder="1" applyAlignment="1">
      <alignment horizontal="center"/>
    </xf>
    <xf numFmtId="43" fontId="3" fillId="0" borderId="56" xfId="6" applyFont="1" applyFill="1" applyBorder="1" applyAlignment="1">
      <alignment horizontal="center"/>
    </xf>
    <xf numFmtId="43" fontId="4" fillId="0" borderId="35" xfId="6" applyFont="1" applyFill="1" applyBorder="1" applyAlignment="1">
      <alignment horizontal="center"/>
    </xf>
    <xf numFmtId="43" fontId="3" fillId="0" borderId="57" xfId="6" applyFont="1" applyFill="1" applyBorder="1" applyAlignment="1">
      <alignment horizontal="center"/>
    </xf>
    <xf numFmtId="43" fontId="3" fillId="0" borderId="46" xfId="6" applyFont="1" applyFill="1" applyBorder="1" applyAlignment="1">
      <alignment horizontal="center"/>
    </xf>
    <xf numFmtId="43" fontId="3" fillId="0" borderId="23" xfId="6" applyFont="1" applyFill="1" applyBorder="1" applyAlignment="1">
      <alignment horizontal="center"/>
    </xf>
    <xf numFmtId="43" fontId="3" fillId="0" borderId="42" xfId="6" applyFont="1" applyFill="1" applyBorder="1" applyAlignment="1">
      <alignment horizontal="center"/>
    </xf>
    <xf numFmtId="43" fontId="3" fillId="0" borderId="35" xfId="6" applyFont="1" applyFill="1" applyBorder="1" applyAlignment="1">
      <alignment horizontal="center"/>
    </xf>
    <xf numFmtId="43" fontId="3" fillId="0" borderId="0" xfId="6" applyFont="1" applyFill="1"/>
    <xf numFmtId="0" fontId="2" fillId="0" borderId="0" xfId="12"/>
    <xf numFmtId="49" fontId="2" fillId="0" borderId="0" xfId="12" applyNumberFormat="1"/>
    <xf numFmtId="43" fontId="0" fillId="0" borderId="0" xfId="9" applyFont="1" applyAlignment="1">
      <alignment horizontal="center" wrapText="1"/>
    </xf>
    <xf numFmtId="0" fontId="2" fillId="0" borderId="0" xfId="12" applyFont="1"/>
    <xf numFmtId="0" fontId="26" fillId="0" borderId="0" xfId="12" applyFont="1"/>
    <xf numFmtId="0" fontId="12" fillId="0" borderId="0" xfId="1" applyFont="1" applyFill="1" applyBorder="1" applyAlignment="1">
      <alignment horizontal="left" vertical="top" wrapText="1"/>
    </xf>
    <xf numFmtId="43" fontId="26" fillId="0" borderId="0" xfId="9" applyFont="1"/>
    <xf numFmtId="43" fontId="27" fillId="0" borderId="0" xfId="9" applyFont="1"/>
    <xf numFmtId="43" fontId="26" fillId="0" borderId="0" xfId="6" applyFont="1" applyFill="1"/>
    <xf numFmtId="0" fontId="26" fillId="0" borderId="0" xfId="12" applyFont="1" applyFill="1"/>
    <xf numFmtId="43" fontId="26" fillId="0" borderId="0" xfId="9" applyFont="1" applyFill="1"/>
    <xf numFmtId="0" fontId="12" fillId="0" borderId="0" xfId="1" applyFont="1" applyFill="1" applyBorder="1"/>
    <xf numFmtId="43" fontId="27" fillId="0" borderId="0" xfId="9" applyFont="1" applyFill="1"/>
    <xf numFmtId="0" fontId="12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left" wrapText="1"/>
    </xf>
    <xf numFmtId="43" fontId="0" fillId="0" borderId="0" xfId="9" applyFont="1"/>
    <xf numFmtId="43" fontId="5" fillId="0" borderId="0" xfId="9" applyFont="1"/>
    <xf numFmtId="43" fontId="0" fillId="0" borderId="31" xfId="6" applyFont="1" applyBorder="1"/>
    <xf numFmtId="43" fontId="0" fillId="0" borderId="33" xfId="6" applyFont="1" applyBorder="1"/>
    <xf numFmtId="43" fontId="15" fillId="0" borderId="30" xfId="6" applyFont="1" applyBorder="1"/>
    <xf numFmtId="49" fontId="3" fillId="0" borderId="0" xfId="12" applyNumberFormat="1" applyFont="1"/>
    <xf numFmtId="49" fontId="22" fillId="0" borderId="0" xfId="12" applyNumberFormat="1" applyFont="1"/>
    <xf numFmtId="49" fontId="22" fillId="0" borderId="0" xfId="12" applyNumberFormat="1" applyFont="1" applyFill="1"/>
    <xf numFmtId="49" fontId="12" fillId="0" borderId="0" xfId="12" applyNumberFormat="1" applyFont="1"/>
    <xf numFmtId="49" fontId="12" fillId="0" borderId="0" xfId="12" applyNumberFormat="1" applyFont="1" applyFill="1"/>
    <xf numFmtId="43" fontId="26" fillId="0" borderId="0" xfId="6" applyFont="1"/>
    <xf numFmtId="43" fontId="2" fillId="0" borderId="0" xfId="6" applyFont="1"/>
    <xf numFmtId="0" fontId="4" fillId="0" borderId="58" xfId="1" applyFont="1" applyFill="1" applyBorder="1"/>
    <xf numFmtId="43" fontId="4" fillId="0" borderId="12" xfId="6" applyFont="1" applyFill="1" applyBorder="1" applyAlignment="1">
      <alignment horizontal="center"/>
    </xf>
    <xf numFmtId="43" fontId="4" fillId="0" borderId="59" xfId="6" applyFont="1" applyFill="1" applyBorder="1" applyAlignment="1">
      <alignment horizontal="center"/>
    </xf>
    <xf numFmtId="43" fontId="4" fillId="0" borderId="12" xfId="6" applyFont="1" applyFill="1" applyBorder="1"/>
    <xf numFmtId="43" fontId="4" fillId="0" borderId="60" xfId="6" applyFont="1" applyFill="1" applyBorder="1" applyAlignment="1">
      <alignment horizontal="center"/>
    </xf>
    <xf numFmtId="43" fontId="0" fillId="0" borderId="58" xfId="6" applyFont="1" applyFill="1" applyBorder="1" applyAlignment="1">
      <alignment horizontal="center"/>
    </xf>
    <xf numFmtId="43" fontId="3" fillId="0" borderId="12" xfId="6" applyFont="1" applyFill="1" applyBorder="1" applyAlignment="1">
      <alignment horizontal="center" wrapText="1"/>
    </xf>
    <xf numFmtId="43" fontId="4" fillId="0" borderId="61" xfId="6" applyFont="1" applyFill="1" applyBorder="1" applyAlignment="1">
      <alignment horizontal="center"/>
    </xf>
    <xf numFmtId="43" fontId="15" fillId="2" borderId="0" xfId="0" applyNumberFormat="1" applyFont="1" applyFill="1"/>
    <xf numFmtId="0" fontId="15" fillId="2" borderId="0" xfId="0" applyFont="1" applyFill="1"/>
    <xf numFmtId="43" fontId="0" fillId="2" borderId="0" xfId="0" applyNumberFormat="1" applyFill="1"/>
    <xf numFmtId="43" fontId="15" fillId="8" borderId="0" xfId="6" applyFont="1" applyFill="1"/>
    <xf numFmtId="43" fontId="0" fillId="9" borderId="22" xfId="6" applyFont="1" applyFill="1" applyBorder="1"/>
    <xf numFmtId="0" fontId="28" fillId="0" borderId="0" xfId="16" applyFont="1"/>
    <xf numFmtId="0" fontId="28" fillId="0" borderId="0" xfId="16" applyFont="1" applyAlignment="1">
      <alignment horizontal="center"/>
    </xf>
    <xf numFmtId="0" fontId="5" fillId="0" borderId="0" xfId="16" applyFont="1"/>
    <xf numFmtId="0" fontId="5" fillId="0" borderId="0" xfId="16" applyFont="1" applyAlignment="1">
      <alignment horizontal="center"/>
    </xf>
    <xf numFmtId="0" fontId="29" fillId="0" borderId="0" xfId="16" applyFont="1"/>
    <xf numFmtId="0" fontId="29" fillId="0" borderId="0" xfId="16" applyFont="1" applyAlignment="1">
      <alignment horizontal="center"/>
    </xf>
    <xf numFmtId="0" fontId="2" fillId="0" borderId="0" xfId="16" applyFont="1"/>
    <xf numFmtId="43" fontId="2" fillId="0" borderId="0" xfId="16" applyNumberFormat="1" applyFont="1" applyAlignment="1">
      <alignment horizontal="center"/>
    </xf>
    <xf numFmtId="0" fontId="30" fillId="0" borderId="0" xfId="0" applyFont="1"/>
    <xf numFmtId="0" fontId="23" fillId="0" borderId="0" xfId="0" applyFont="1" applyAlignment="1">
      <alignment horizontal="right"/>
    </xf>
    <xf numFmtId="43" fontId="23" fillId="0" borderId="0" xfId="0" applyNumberFormat="1" applyFont="1"/>
    <xf numFmtId="0" fontId="2" fillId="0" borderId="0" xfId="16" applyProtection="1">
      <protection locked="0"/>
    </xf>
    <xf numFmtId="0" fontId="2" fillId="0" borderId="0" xfId="16" applyAlignment="1" applyProtection="1">
      <alignment horizontal="center"/>
      <protection locked="0"/>
    </xf>
    <xf numFmtId="0" fontId="2" fillId="0" borderId="0" xfId="16"/>
    <xf numFmtId="0" fontId="2" fillId="0" borderId="0" xfId="16" applyAlignment="1">
      <alignment horizontal="center"/>
    </xf>
    <xf numFmtId="14" fontId="2" fillId="0" borderId="0" xfId="16" applyNumberFormat="1" applyAlignment="1">
      <alignment horizontal="center"/>
    </xf>
    <xf numFmtId="43" fontId="2" fillId="0" borderId="0" xfId="6" applyFont="1" applyAlignment="1">
      <alignment horizontal="center"/>
    </xf>
    <xf numFmtId="14" fontId="2" fillId="0" borderId="0" xfId="16" applyNumberFormat="1" applyFont="1" applyAlignment="1">
      <alignment horizontal="center"/>
    </xf>
    <xf numFmtId="0" fontId="2" fillId="0" borderId="0" xfId="16" applyFont="1" applyAlignment="1">
      <alignment horizontal="center"/>
    </xf>
    <xf numFmtId="43" fontId="5" fillId="0" borderId="0" xfId="16" applyNumberFormat="1" applyFont="1" applyAlignment="1">
      <alignment horizontal="center"/>
    </xf>
    <xf numFmtId="43" fontId="2" fillId="0" borderId="0" xfId="16" applyNumberFormat="1" applyAlignment="1">
      <alignment horizontal="center"/>
    </xf>
    <xf numFmtId="43" fontId="0" fillId="10" borderId="22" xfId="6" applyFont="1" applyFill="1" applyBorder="1"/>
    <xf numFmtId="0" fontId="31" fillId="11" borderId="0" xfId="0" applyFont="1" applyFill="1"/>
    <xf numFmtId="0" fontId="32" fillId="0" borderId="0" xfId="1" applyFont="1" applyFill="1" applyAlignment="1">
      <alignment horizontal="right"/>
    </xf>
    <xf numFmtId="43" fontId="32" fillId="0" borderId="0" xfId="1" applyNumberFormat="1" applyFont="1" applyFill="1"/>
    <xf numFmtId="43" fontId="4" fillId="0" borderId="55" xfId="6" applyFont="1" applyFill="1" applyBorder="1" applyAlignment="1">
      <alignment horizontal="center"/>
    </xf>
    <xf numFmtId="0" fontId="4" fillId="0" borderId="34" xfId="1" applyFont="1" applyFill="1" applyBorder="1" applyAlignment="1">
      <alignment horizontal="center" wrapText="1"/>
    </xf>
    <xf numFmtId="0" fontId="28" fillId="0" borderId="0" xfId="17" applyFont="1"/>
    <xf numFmtId="0" fontId="33" fillId="0" borderId="0" xfId="1" applyFont="1" applyFill="1" applyBorder="1" applyAlignment="1"/>
    <xf numFmtId="0" fontId="34" fillId="0" borderId="0" xfId="1" applyFont="1" applyFill="1" applyBorder="1" applyAlignment="1"/>
    <xf numFmtId="0" fontId="35" fillId="0" borderId="0" xfId="1" applyFont="1" applyFill="1" applyBorder="1" applyAlignment="1">
      <alignment vertical="center"/>
    </xf>
    <xf numFmtId="43" fontId="37" fillId="0" borderId="0" xfId="0" applyNumberFormat="1" applyFont="1" applyAlignment="1">
      <alignment vertical="center"/>
    </xf>
    <xf numFmtId="0" fontId="38" fillId="0" borderId="0" xfId="1" applyFont="1" applyFill="1" applyBorder="1" applyAlignment="1"/>
    <xf numFmtId="0" fontId="39" fillId="0" borderId="0" xfId="0" applyFont="1"/>
    <xf numFmtId="43" fontId="37" fillId="0" borderId="0" xfId="6" applyFont="1" applyAlignment="1">
      <alignment vertical="center"/>
    </xf>
    <xf numFmtId="0" fontId="0" fillId="3" borderId="29" xfId="0" applyFill="1" applyBorder="1"/>
    <xf numFmtId="43" fontId="3" fillId="0" borderId="39" xfId="6" applyFon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32" xfId="0" applyNumberFormat="1" applyBorder="1"/>
    <xf numFmtId="0" fontId="0" fillId="0" borderId="0" xfId="0" applyAlignment="1"/>
    <xf numFmtId="43" fontId="0" fillId="0" borderId="0" xfId="6" applyFont="1" applyFill="1" applyBorder="1" applyAlignment="1">
      <alignment vertical="center"/>
    </xf>
    <xf numFmtId="0" fontId="17" fillId="0" borderId="0" xfId="0" applyFont="1"/>
    <xf numFmtId="0" fontId="15" fillId="3" borderId="0" xfId="0" applyFont="1" applyFill="1"/>
    <xf numFmtId="43" fontId="0" fillId="3" borderId="0" xfId="6" applyFont="1" applyFill="1"/>
    <xf numFmtId="0" fontId="0" fillId="3" borderId="0" xfId="0" applyFill="1"/>
    <xf numFmtId="43" fontId="0" fillId="0" borderId="4" xfId="6" applyFont="1" applyFill="1" applyBorder="1" applyAlignment="1">
      <alignment horizontal="center"/>
    </xf>
    <xf numFmtId="43" fontId="3" fillId="0" borderId="44" xfId="6" applyFont="1" applyFill="1" applyBorder="1" applyAlignment="1">
      <alignment horizontal="center" wrapText="1"/>
    </xf>
    <xf numFmtId="43" fontId="3" fillId="0" borderId="44" xfId="6" applyFont="1" applyFill="1" applyBorder="1"/>
    <xf numFmtId="43" fontId="0" fillId="0" borderId="44" xfId="6" applyFont="1" applyFill="1" applyBorder="1" applyAlignment="1">
      <alignment horizontal="center"/>
    </xf>
    <xf numFmtId="43" fontId="4" fillId="0" borderId="47" xfId="6" applyFont="1" applyFill="1" applyBorder="1" applyAlignment="1">
      <alignment horizontal="center"/>
    </xf>
    <xf numFmtId="43" fontId="4" fillId="0" borderId="44" xfId="6" applyFont="1" applyFill="1" applyBorder="1" applyAlignment="1">
      <alignment horizontal="center"/>
    </xf>
    <xf numFmtId="43" fontId="4" fillId="0" borderId="63" xfId="6" applyFont="1" applyFill="1" applyBorder="1" applyAlignment="1">
      <alignment horizontal="center"/>
    </xf>
    <xf numFmtId="43" fontId="4" fillId="0" borderId="64" xfId="6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43" fontId="0" fillId="0" borderId="11" xfId="6" applyFont="1" applyFill="1" applyBorder="1" applyAlignment="1">
      <alignment horizontal="center"/>
    </xf>
    <xf numFmtId="43" fontId="3" fillId="0" borderId="66" xfId="6" applyFont="1" applyFill="1" applyBorder="1" applyAlignment="1">
      <alignment horizontal="center" wrapText="1"/>
    </xf>
    <xf numFmtId="43" fontId="4" fillId="0" borderId="67" xfId="6" applyFont="1" applyFill="1" applyBorder="1" applyAlignment="1">
      <alignment horizontal="center"/>
    </xf>
    <xf numFmtId="43" fontId="3" fillId="0" borderId="66" xfId="6" applyFont="1" applyFill="1" applyBorder="1"/>
    <xf numFmtId="43" fontId="0" fillId="0" borderId="66" xfId="6" applyFont="1" applyFill="1" applyBorder="1" applyAlignment="1">
      <alignment horizontal="center"/>
    </xf>
    <xf numFmtId="43" fontId="4" fillId="0" borderId="68" xfId="6" applyFont="1" applyFill="1" applyBorder="1" applyAlignment="1">
      <alignment horizontal="center"/>
    </xf>
    <xf numFmtId="43" fontId="4" fillId="0" borderId="66" xfId="6" applyFont="1" applyFill="1" applyBorder="1" applyAlignment="1">
      <alignment horizontal="center"/>
    </xf>
    <xf numFmtId="43" fontId="4" fillId="0" borderId="69" xfId="6" applyFont="1" applyFill="1" applyBorder="1" applyAlignment="1">
      <alignment horizontal="center"/>
    </xf>
    <xf numFmtId="43" fontId="4" fillId="0" borderId="70" xfId="6" applyFont="1" applyFill="1" applyBorder="1" applyAlignment="1">
      <alignment horizontal="center"/>
    </xf>
    <xf numFmtId="0" fontId="4" fillId="0" borderId="4" xfId="1" applyFont="1" applyFill="1" applyBorder="1"/>
    <xf numFmtId="43" fontId="4" fillId="0" borderId="44" xfId="6" applyFont="1" applyFill="1" applyBorder="1"/>
    <xf numFmtId="0" fontId="4" fillId="0" borderId="11" xfId="1" applyFont="1" applyFill="1" applyBorder="1"/>
    <xf numFmtId="43" fontId="3" fillId="0" borderId="66" xfId="6" applyFont="1" applyFill="1" applyBorder="1" applyAlignment="1">
      <alignment horizontal="center"/>
    </xf>
    <xf numFmtId="43" fontId="4" fillId="0" borderId="66" xfId="6" applyFont="1" applyFill="1" applyBorder="1"/>
    <xf numFmtId="0" fontId="15" fillId="2" borderId="28" xfId="0" applyFont="1" applyFill="1" applyBorder="1" applyAlignment="1">
      <alignment wrapText="1"/>
    </xf>
    <xf numFmtId="0" fontId="40" fillId="0" borderId="0" xfId="0" applyFont="1"/>
    <xf numFmtId="9" fontId="0" fillId="0" borderId="0" xfId="6" applyNumberFormat="1" applyFont="1"/>
    <xf numFmtId="43" fontId="15" fillId="0" borderId="32" xfId="0" applyNumberFormat="1" applyFont="1" applyBorder="1"/>
    <xf numFmtId="0" fontId="0" fillId="0" borderId="71" xfId="0" applyBorder="1"/>
    <xf numFmtId="0" fontId="0" fillId="0" borderId="73" xfId="0" applyBorder="1"/>
    <xf numFmtId="43" fontId="0" fillId="0" borderId="72" xfId="6" applyFont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/>
    <xf numFmtId="43" fontId="41" fillId="0" borderId="0" xfId="6" applyFont="1" applyFill="1"/>
    <xf numFmtId="0" fontId="15" fillId="0" borderId="0" xfId="0" applyFont="1" applyFill="1" applyBorder="1" applyAlignment="1">
      <alignment horizontal="center"/>
    </xf>
    <xf numFmtId="0" fontId="27" fillId="2" borderId="0" xfId="12" applyFont="1" applyFill="1" applyAlignment="1">
      <alignment horizontal="right"/>
    </xf>
    <xf numFmtId="0" fontId="11" fillId="0" borderId="10" xfId="1" applyFont="1" applyFill="1" applyBorder="1"/>
    <xf numFmtId="0" fontId="11" fillId="0" borderId="0" xfId="1" applyFont="1" applyFill="1" applyBorder="1"/>
    <xf numFmtId="0" fontId="14" fillId="0" borderId="0" xfId="1" applyFont="1" applyFill="1" applyBorder="1" applyAlignment="1">
      <alignment wrapText="1"/>
    </xf>
    <xf numFmtId="0" fontId="11" fillId="0" borderId="9" xfId="1" applyFont="1" applyFill="1" applyBorder="1"/>
    <xf numFmtId="0" fontId="14" fillId="0" borderId="29" xfId="0" applyFont="1" applyFill="1" applyBorder="1" applyAlignment="1">
      <alignment horizontal="center" wrapText="1"/>
    </xf>
    <xf numFmtId="43" fontId="14" fillId="0" borderId="0" xfId="6" applyFont="1" applyBorder="1"/>
    <xf numFmtId="43" fontId="14" fillId="0" borderId="18" xfId="6" applyFont="1" applyBorder="1"/>
    <xf numFmtId="43" fontId="0" fillId="0" borderId="0" xfId="6" applyFont="1" applyBorder="1" applyAlignment="1">
      <alignment wrapText="1"/>
    </xf>
    <xf numFmtId="43" fontId="0" fillId="0" borderId="32" xfId="6" applyFont="1" applyBorder="1" applyAlignment="1">
      <alignment wrapText="1"/>
    </xf>
    <xf numFmtId="0" fontId="42" fillId="0" borderId="0" xfId="18" applyFill="1"/>
    <xf numFmtId="0" fontId="29" fillId="0" borderId="0" xfId="18" applyFont="1" applyFill="1"/>
    <xf numFmtId="0" fontId="2" fillId="0" borderId="0" xfId="18" applyFont="1" applyFill="1"/>
    <xf numFmtId="0" fontId="42" fillId="0" borderId="0" xfId="18"/>
    <xf numFmtId="0" fontId="5" fillId="0" borderId="71" xfId="18" applyFont="1" applyFill="1" applyBorder="1"/>
    <xf numFmtId="0" fontId="42" fillId="0" borderId="72" xfId="18" applyFill="1" applyBorder="1"/>
    <xf numFmtId="0" fontId="42" fillId="0" borderId="0" xfId="18" applyFill="1" applyBorder="1"/>
    <xf numFmtId="14" fontId="42" fillId="0" borderId="0" xfId="18" applyNumberFormat="1" applyFill="1"/>
    <xf numFmtId="43" fontId="42" fillId="0" borderId="0" xfId="19" applyFill="1"/>
    <xf numFmtId="43" fontId="42" fillId="0" borderId="0" xfId="18" applyNumberFormat="1" applyFill="1"/>
    <xf numFmtId="3" fontId="42" fillId="0" borderId="0" xfId="18" applyNumberFormat="1" applyFill="1" applyBorder="1"/>
    <xf numFmtId="43" fontId="42" fillId="0" borderId="0" xfId="19"/>
    <xf numFmtId="43" fontId="5" fillId="0" borderId="0" xfId="18" applyNumberFormat="1" applyFont="1"/>
    <xf numFmtId="0" fontId="42" fillId="0" borderId="0" xfId="18" applyBorder="1"/>
    <xf numFmtId="0" fontId="42" fillId="0" borderId="72" xfId="18" applyBorder="1"/>
    <xf numFmtId="14" fontId="0" fillId="0" borderId="0" xfId="19" applyNumberFormat="1" applyFont="1" applyFill="1"/>
    <xf numFmtId="43" fontId="0" fillId="0" borderId="0" xfId="19" applyFont="1" applyFill="1"/>
    <xf numFmtId="43" fontId="5" fillId="0" borderId="0" xfId="18" applyNumberFormat="1" applyFont="1" applyFill="1"/>
    <xf numFmtId="0" fontId="43" fillId="0" borderId="0" xfId="18" applyFont="1" applyFill="1"/>
    <xf numFmtId="0" fontId="5" fillId="0" borderId="0" xfId="18" applyFont="1" applyAlignment="1">
      <alignment horizontal="right"/>
    </xf>
    <xf numFmtId="0" fontId="42" fillId="0" borderId="40" xfId="18" applyBorder="1"/>
    <xf numFmtId="0" fontId="42" fillId="0" borderId="44" xfId="18" applyBorder="1"/>
    <xf numFmtId="0" fontId="42" fillId="0" borderId="45" xfId="18" applyBorder="1"/>
    <xf numFmtId="0" fontId="42" fillId="0" borderId="40" xfId="18" applyFill="1" applyBorder="1"/>
    <xf numFmtId="0" fontId="42" fillId="0" borderId="44" xfId="18" applyFill="1" applyBorder="1" applyAlignment="1">
      <alignment horizontal="center"/>
    </xf>
    <xf numFmtId="0" fontId="42" fillId="0" borderId="45" xfId="18" applyFill="1" applyBorder="1"/>
    <xf numFmtId="0" fontId="42" fillId="0" borderId="40" xfId="18" applyFill="1" applyBorder="1" applyAlignment="1">
      <alignment horizontal="center"/>
    </xf>
    <xf numFmtId="0" fontId="42" fillId="0" borderId="42" xfId="18" applyFill="1" applyBorder="1"/>
    <xf numFmtId="0" fontId="42" fillId="0" borderId="22" xfId="18" applyFill="1" applyBorder="1" applyAlignment="1">
      <alignment horizontal="center"/>
    </xf>
    <xf numFmtId="0" fontId="42" fillId="0" borderId="46" xfId="18" applyFill="1" applyBorder="1"/>
    <xf numFmtId="0" fontId="42" fillId="0" borderId="42" xfId="18" applyBorder="1"/>
    <xf numFmtId="0" fontId="42" fillId="0" borderId="42" xfId="18" applyFill="1" applyBorder="1" applyAlignment="1">
      <alignment horizontal="center"/>
    </xf>
    <xf numFmtId="0" fontId="42" fillId="0" borderId="22" xfId="18" applyBorder="1"/>
    <xf numFmtId="0" fontId="2" fillId="0" borderId="22" xfId="18" applyFont="1" applyFill="1" applyBorder="1" applyAlignment="1">
      <alignment horizontal="center"/>
    </xf>
    <xf numFmtId="0" fontId="42" fillId="0" borderId="46" xfId="18" applyBorder="1"/>
    <xf numFmtId="0" fontId="2" fillId="0" borderId="40" xfId="18" applyFont="1" applyFill="1" applyBorder="1" applyAlignment="1">
      <alignment horizontal="center"/>
    </xf>
    <xf numFmtId="0" fontId="2" fillId="0" borderId="44" xfId="18" applyFont="1" applyFill="1" applyBorder="1" applyAlignment="1">
      <alignment horizontal="center"/>
    </xf>
    <xf numFmtId="0" fontId="15" fillId="0" borderId="74" xfId="0" applyFont="1" applyFill="1" applyBorder="1"/>
    <xf numFmtId="43" fontId="15" fillId="0" borderId="75" xfId="6" applyFont="1" applyBorder="1"/>
    <xf numFmtId="43" fontId="15" fillId="0" borderId="76" xfId="6" applyFont="1" applyBorder="1"/>
    <xf numFmtId="0" fontId="44" fillId="0" borderId="31" xfId="0" applyFont="1" applyBorder="1"/>
    <xf numFmtId="43" fontId="44" fillId="0" borderId="0" xfId="6" applyFont="1" applyBorder="1"/>
    <xf numFmtId="0" fontId="44" fillId="0" borderId="0" xfId="0" applyFont="1" applyBorder="1"/>
    <xf numFmtId="0" fontId="17" fillId="0" borderId="33" xfId="0" applyFont="1" applyBorder="1"/>
    <xf numFmtId="43" fontId="17" fillId="0" borderId="18" xfId="6" applyFont="1" applyBorder="1"/>
    <xf numFmtId="0" fontId="17" fillId="0" borderId="18" xfId="0" applyFont="1" applyBorder="1"/>
    <xf numFmtId="43" fontId="44" fillId="0" borderId="0" xfId="0" applyNumberFormat="1" applyFont="1" applyBorder="1"/>
    <xf numFmtId="43" fontId="17" fillId="0" borderId="18" xfId="0" applyNumberFormat="1" applyFont="1" applyBorder="1"/>
    <xf numFmtId="0" fontId="0" fillId="2" borderId="77" xfId="0" applyFill="1" applyBorder="1"/>
    <xf numFmtId="0" fontId="4" fillId="2" borderId="78" xfId="0" applyFont="1" applyFill="1" applyBorder="1"/>
    <xf numFmtId="43" fontId="4" fillId="2" borderId="79" xfId="6" applyFont="1" applyFill="1" applyBorder="1"/>
    <xf numFmtId="0" fontId="31" fillId="0" borderId="0" xfId="0" applyFont="1" applyFill="1"/>
    <xf numFmtId="43" fontId="31" fillId="0" borderId="0" xfId="6" applyFont="1" applyFill="1"/>
    <xf numFmtId="43" fontId="15" fillId="11" borderId="0" xfId="6" applyFont="1" applyFill="1"/>
    <xf numFmtId="0" fontId="0" fillId="0" borderId="33" xfId="0" applyFill="1" applyBorder="1"/>
    <xf numFmtId="0" fontId="0" fillId="0" borderId="80" xfId="0" applyBorder="1"/>
    <xf numFmtId="43" fontId="0" fillId="0" borderId="81" xfId="0" applyNumberFormat="1" applyBorder="1"/>
    <xf numFmtId="0" fontId="45" fillId="0" borderId="0" xfId="0" applyFont="1"/>
    <xf numFmtId="43" fontId="0" fillId="0" borderId="18" xfId="6" applyFont="1" applyFill="1" applyBorder="1"/>
    <xf numFmtId="0" fontId="12" fillId="0" borderId="29" xfId="0" applyFont="1" applyBorder="1"/>
    <xf numFmtId="43" fontId="12" fillId="2" borderId="0" xfId="6" applyFont="1" applyFill="1"/>
    <xf numFmtId="43" fontId="12" fillId="2" borderId="18" xfId="6" applyFont="1" applyFill="1" applyBorder="1"/>
    <xf numFmtId="10" fontId="0" fillId="0" borderId="0" xfId="6" applyNumberFormat="1" applyFont="1"/>
    <xf numFmtId="43" fontId="15" fillId="0" borderId="32" xfId="6" applyFont="1" applyBorder="1"/>
    <xf numFmtId="43" fontId="15" fillId="0" borderId="34" xfId="6" applyFont="1" applyBorder="1"/>
    <xf numFmtId="0" fontId="42" fillId="0" borderId="23" xfId="18" applyBorder="1"/>
    <xf numFmtId="43" fontId="5" fillId="0" borderId="23" xfId="19" applyFont="1" applyBorder="1" applyAlignment="1">
      <alignment horizontal="center"/>
    </xf>
    <xf numFmtId="43" fontId="42" fillId="0" borderId="23" xfId="19" applyBorder="1"/>
    <xf numFmtId="0" fontId="2" fillId="0" borderId="23" xfId="18" applyFont="1" applyBorder="1"/>
    <xf numFmtId="43" fontId="42" fillId="0" borderId="23" xfId="6" applyFont="1" applyBorder="1"/>
    <xf numFmtId="43" fontId="5" fillId="0" borderId="23" xfId="19" applyFont="1" applyBorder="1"/>
    <xf numFmtId="0" fontId="5" fillId="0" borderId="23" xfId="18" applyFont="1" applyBorder="1"/>
    <xf numFmtId="43" fontId="5" fillId="0" borderId="23" xfId="18" applyNumberFormat="1" applyFont="1" applyBorder="1"/>
    <xf numFmtId="0" fontId="41" fillId="0" borderId="0" xfId="0" applyFont="1" applyAlignment="1"/>
    <xf numFmtId="0" fontId="41" fillId="0" borderId="0" xfId="0" applyFont="1"/>
    <xf numFmtId="0" fontId="41" fillId="0" borderId="0" xfId="0" applyFont="1" applyFill="1"/>
    <xf numFmtId="0" fontId="46" fillId="0" borderId="0" xfId="12" applyFont="1"/>
    <xf numFmtId="0" fontId="15" fillId="0" borderId="23" xfId="0" applyFont="1" applyBorder="1"/>
    <xf numFmtId="0" fontId="0" fillId="0" borderId="23" xfId="0" applyBorder="1"/>
    <xf numFmtId="43" fontId="15" fillId="0" borderId="23" xfId="6" applyFont="1" applyBorder="1"/>
    <xf numFmtId="0" fontId="17" fillId="0" borderId="0" xfId="0" applyFont="1" applyFill="1"/>
    <xf numFmtId="43" fontId="41" fillId="0" borderId="0" xfId="6" applyFont="1" applyFill="1" applyBorder="1" applyAlignment="1"/>
    <xf numFmtId="0" fontId="47" fillId="0" borderId="0" xfId="0" applyFont="1"/>
    <xf numFmtId="0" fontId="48" fillId="0" borderId="0" xfId="0" applyFont="1" applyAlignment="1">
      <alignment wrapText="1"/>
    </xf>
    <xf numFmtId="43" fontId="48" fillId="0" borderId="0" xfId="6" applyFont="1"/>
    <xf numFmtId="0" fontId="48" fillId="0" borderId="0" xfId="0" applyFont="1"/>
    <xf numFmtId="43" fontId="47" fillId="0" borderId="0" xfId="6" applyFont="1"/>
    <xf numFmtId="0" fontId="17" fillId="0" borderId="0" xfId="0" applyFont="1" applyBorder="1"/>
    <xf numFmtId="43" fontId="17" fillId="0" borderId="0" xfId="6" applyFont="1" applyBorder="1"/>
    <xf numFmtId="43" fontId="17" fillId="0" borderId="0" xfId="0" applyNumberFormat="1" applyFont="1" applyBorder="1"/>
    <xf numFmtId="0" fontId="17" fillId="0" borderId="0" xfId="0" applyFont="1" applyFill="1" applyBorder="1"/>
    <xf numFmtId="43" fontId="17" fillId="0" borderId="0" xfId="6" applyFont="1" applyFill="1" applyBorder="1"/>
    <xf numFmtId="43" fontId="17" fillId="0" borderId="0" xfId="0" applyNumberFormat="1" applyFont="1" applyFill="1" applyBorder="1"/>
    <xf numFmtId="43" fontId="4" fillId="0" borderId="0" xfId="6" applyFont="1" applyFill="1" applyBorder="1"/>
    <xf numFmtId="0" fontId="45" fillId="0" borderId="0" xfId="0" applyFont="1" applyFill="1"/>
    <xf numFmtId="43" fontId="44" fillId="0" borderId="23" xfId="6" applyFont="1" applyFill="1" applyBorder="1"/>
    <xf numFmtId="43" fontId="17" fillId="0" borderId="23" xfId="6" applyFont="1" applyFill="1" applyBorder="1"/>
    <xf numFmtId="0" fontId="3" fillId="0" borderId="0" xfId="0" applyFont="1" applyFill="1" applyBorder="1" applyAlignment="1">
      <alignment horizontal="right"/>
    </xf>
    <xf numFmtId="0" fontId="0" fillId="0" borderId="0" xfId="1" applyFont="1" applyFill="1" applyBorder="1"/>
    <xf numFmtId="0" fontId="0" fillId="0" borderId="28" xfId="0" applyBorder="1"/>
    <xf numFmtId="0" fontId="0" fillId="0" borderId="31" xfId="0" applyFill="1" applyBorder="1"/>
    <xf numFmtId="0" fontId="3" fillId="0" borderId="31" xfId="1" applyFont="1" applyFill="1" applyBorder="1"/>
    <xf numFmtId="0" fontId="3" fillId="0" borderId="31" xfId="1" applyFont="1" applyFill="1" applyBorder="1" applyAlignment="1">
      <alignment wrapText="1"/>
    </xf>
    <xf numFmtId="0" fontId="0" fillId="0" borderId="31" xfId="1" applyFont="1" applyFill="1" applyBorder="1" applyAlignment="1">
      <alignment wrapText="1"/>
    </xf>
    <xf numFmtId="0" fontId="0" fillId="0" borderId="31" xfId="1" applyFont="1" applyFill="1" applyBorder="1"/>
    <xf numFmtId="0" fontId="0" fillId="0" borderId="33" xfId="1" applyFont="1" applyFill="1" applyBorder="1"/>
    <xf numFmtId="0" fontId="27" fillId="0" borderId="0" xfId="1" applyFont="1" applyFill="1"/>
    <xf numFmtId="0" fontId="50" fillId="0" borderId="0" xfId="0" applyFont="1"/>
    <xf numFmtId="43" fontId="12" fillId="0" borderId="0" xfId="6" applyFont="1" applyFill="1" applyBorder="1" applyAlignment="1">
      <alignment vertical="center"/>
    </xf>
    <xf numFmtId="43" fontId="51" fillId="0" borderId="0" xfId="6" applyFont="1" applyFill="1" applyBorder="1" applyAlignment="1">
      <alignment vertical="center"/>
    </xf>
    <xf numFmtId="0" fontId="53" fillId="3" borderId="35" xfId="0" applyFont="1" applyFill="1" applyBorder="1"/>
    <xf numFmtId="0" fontId="53" fillId="3" borderId="71" xfId="0" applyFont="1" applyFill="1" applyBorder="1"/>
    <xf numFmtId="43" fontId="0" fillId="3" borderId="72" xfId="6" applyFont="1" applyFill="1" applyBorder="1"/>
    <xf numFmtId="0" fontId="53" fillId="3" borderId="71" xfId="0" applyFont="1" applyFill="1" applyBorder="1" applyAlignment="1">
      <alignment horizontal="center"/>
    </xf>
    <xf numFmtId="0" fontId="0" fillId="0" borderId="31" xfId="0" applyFont="1" applyFill="1" applyBorder="1" applyAlignment="1">
      <alignment wrapText="1"/>
    </xf>
    <xf numFmtId="43" fontId="0" fillId="12" borderId="0" xfId="6" applyFont="1" applyFill="1" applyBorder="1"/>
    <xf numFmtId="43" fontId="0" fillId="12" borderId="32" xfId="6" applyFont="1" applyFill="1" applyBorder="1"/>
    <xf numFmtId="43" fontId="46" fillId="0" borderId="0" xfId="6" applyFont="1" applyFill="1" applyBorder="1" applyAlignment="1">
      <alignment vertical="center"/>
    </xf>
    <xf numFmtId="0" fontId="14" fillId="0" borderId="31" xfId="0" applyFont="1" applyFill="1" applyBorder="1" applyAlignment="1">
      <alignment wrapText="1"/>
    </xf>
    <xf numFmtId="43" fontId="0" fillId="0" borderId="83" xfId="6" applyFont="1" applyBorder="1"/>
    <xf numFmtId="43" fontId="0" fillId="0" borderId="84" xfId="6" applyFont="1" applyBorder="1"/>
    <xf numFmtId="0" fontId="15" fillId="0" borderId="82" xfId="0" applyFont="1" applyBorder="1"/>
    <xf numFmtId="43" fontId="0" fillId="0" borderId="75" xfId="6" applyNumberFormat="1" applyFont="1" applyBorder="1"/>
    <xf numFmtId="43" fontId="0" fillId="0" borderId="76" xfId="6" applyNumberFormat="1" applyFont="1" applyBorder="1"/>
    <xf numFmtId="0" fontId="54" fillId="0" borderId="0" xfId="0" applyFont="1"/>
    <xf numFmtId="0" fontId="27" fillId="0" borderId="0" xfId="18" applyFont="1"/>
    <xf numFmtId="0" fontId="0" fillId="9" borderId="0" xfId="0" applyFill="1"/>
    <xf numFmtId="0" fontId="46" fillId="9" borderId="0" xfId="0" applyFont="1" applyFill="1"/>
    <xf numFmtId="0" fontId="52" fillId="0" borderId="0" xfId="0" applyFont="1" applyFill="1"/>
    <xf numFmtId="0" fontId="12" fillId="0" borderId="0" xfId="0" applyFont="1" applyFill="1"/>
    <xf numFmtId="0" fontId="55" fillId="0" borderId="0" xfId="0" applyFont="1"/>
    <xf numFmtId="0" fontId="56" fillId="0" borderId="0" xfId="0" applyFont="1"/>
    <xf numFmtId="43" fontId="56" fillId="0" borderId="0" xfId="6" applyFont="1"/>
    <xf numFmtId="0" fontId="0" fillId="0" borderId="0" xfId="0" applyFont="1"/>
    <xf numFmtId="43" fontId="11" fillId="0" borderId="0" xfId="6" applyFont="1"/>
    <xf numFmtId="0" fontId="15" fillId="0" borderId="29" xfId="0" applyFont="1" applyBorder="1"/>
    <xf numFmtId="0" fontId="15" fillId="0" borderId="0" xfId="0" applyFont="1" applyBorder="1"/>
    <xf numFmtId="0" fontId="0" fillId="0" borderId="23" xfId="0" applyFont="1" applyBorder="1"/>
    <xf numFmtId="0" fontId="0" fillId="0" borderId="85" xfId="0" applyBorder="1"/>
    <xf numFmtId="0" fontId="15" fillId="0" borderId="86" xfId="0" applyFont="1" applyBorder="1"/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88" xfId="0" applyFont="1" applyBorder="1"/>
    <xf numFmtId="43" fontId="0" fillId="0" borderId="89" xfId="6" applyFont="1" applyBorder="1"/>
    <xf numFmtId="0" fontId="0" fillId="0" borderId="90" xfId="0" applyFont="1" applyBorder="1"/>
    <xf numFmtId="0" fontId="15" fillId="0" borderId="39" xfId="0" applyFont="1" applyBorder="1"/>
    <xf numFmtId="43" fontId="15" fillId="0" borderId="91" xfId="6" applyFont="1" applyBorder="1"/>
    <xf numFmtId="43" fontId="3" fillId="0" borderId="89" xfId="6" applyFont="1" applyFill="1" applyBorder="1"/>
    <xf numFmtId="0" fontId="0" fillId="0" borderId="90" xfId="0" applyBorder="1"/>
    <xf numFmtId="0" fontId="5" fillId="0" borderId="0" xfId="1" applyFont="1" applyFill="1"/>
    <xf numFmtId="43" fontId="0" fillId="2" borderId="23" xfId="6" applyFont="1" applyFill="1" applyBorder="1"/>
    <xf numFmtId="43" fontId="0" fillId="9" borderId="23" xfId="6" applyFont="1" applyFill="1" applyBorder="1"/>
    <xf numFmtId="0" fontId="15" fillId="0" borderId="0" xfId="0" applyFont="1" applyFill="1"/>
    <xf numFmtId="0" fontId="46" fillId="13" borderId="0" xfId="0" applyFont="1" applyFill="1" applyBorder="1"/>
    <xf numFmtId="43" fontId="46" fillId="13" borderId="0" xfId="0" applyNumberFormat="1" applyFont="1" applyFill="1" applyBorder="1"/>
    <xf numFmtId="43" fontId="46" fillId="13" borderId="0" xfId="6" applyFont="1" applyFill="1" applyBorder="1"/>
    <xf numFmtId="0" fontId="57" fillId="13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8" fillId="0" borderId="0" xfId="0" applyFont="1" applyAlignment="1">
      <alignment wrapText="1"/>
    </xf>
    <xf numFmtId="43" fontId="46" fillId="0" borderId="0" xfId="0" applyNumberFormat="1" applyFont="1"/>
    <xf numFmtId="0" fontId="57" fillId="0" borderId="0" xfId="0" applyFont="1" applyFill="1"/>
    <xf numFmtId="43" fontId="11" fillId="14" borderId="0" xfId="6" applyFont="1" applyFill="1" applyAlignment="1">
      <alignment horizontal="right"/>
    </xf>
    <xf numFmtId="0" fontId="0" fillId="14" borderId="0" xfId="0" applyFill="1" applyAlignment="1">
      <alignment horizontal="right"/>
    </xf>
    <xf numFmtId="43" fontId="0" fillId="14" borderId="0" xfId="0" applyNumberFormat="1" applyFill="1"/>
    <xf numFmtId="0" fontId="0" fillId="9" borderId="0" xfId="0" applyFill="1" applyAlignment="1">
      <alignment horizontal="right"/>
    </xf>
    <xf numFmtId="43" fontId="0" fillId="9" borderId="0" xfId="0" applyNumberFormat="1" applyFill="1"/>
    <xf numFmtId="0" fontId="59" fillId="0" borderId="92" xfId="0" applyFont="1" applyBorder="1"/>
    <xf numFmtId="0" fontId="26" fillId="0" borderId="23" xfId="0" applyFont="1" applyFill="1" applyBorder="1" applyAlignment="1">
      <alignment horizontal="left" vertical="top"/>
    </xf>
    <xf numFmtId="43" fontId="59" fillId="0" borderId="92" xfId="6" applyFont="1" applyBorder="1"/>
    <xf numFmtId="43" fontId="60" fillId="0" borderId="0" xfId="6" applyFont="1"/>
    <xf numFmtId="0" fontId="60" fillId="0" borderId="0" xfId="0" applyFont="1"/>
    <xf numFmtId="0" fontId="2" fillId="0" borderId="23" xfId="0" applyFont="1" applyBorder="1" applyAlignment="1">
      <alignment horizontal="left" vertical="top"/>
    </xf>
    <xf numFmtId="0" fontId="26" fillId="0" borderId="23" xfId="0" applyFont="1" applyBorder="1" applyAlignment="1">
      <alignment horizontal="left" vertical="top"/>
    </xf>
    <xf numFmtId="0" fontId="2" fillId="0" borderId="23" xfId="0" applyFont="1" applyFill="1" applyBorder="1" applyAlignment="1">
      <alignment horizontal="left" vertical="top"/>
    </xf>
    <xf numFmtId="0" fontId="26" fillId="0" borderId="23" xfId="0" applyFont="1" applyFill="1" applyBorder="1" applyAlignment="1">
      <alignment vertical="top"/>
    </xf>
    <xf numFmtId="0" fontId="2" fillId="0" borderId="23" xfId="0" applyFont="1" applyFill="1" applyBorder="1" applyAlignment="1">
      <alignment vertical="top"/>
    </xf>
    <xf numFmtId="43" fontId="3" fillId="0" borderId="0" xfId="6" applyFont="1"/>
    <xf numFmtId="43" fontId="3" fillId="0" borderId="44" xfId="6" applyFont="1" applyBorder="1"/>
    <xf numFmtId="43" fontId="3" fillId="0" borderId="22" xfId="6" applyFont="1" applyBorder="1"/>
    <xf numFmtId="0" fontId="1" fillId="0" borderId="0" xfId="0" applyFont="1" applyFill="1" applyAlignment="1">
      <alignment horizontal="center"/>
    </xf>
    <xf numFmtId="0" fontId="4" fillId="0" borderId="52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</cellXfs>
  <cellStyles count="20">
    <cellStyle name="Euro" xfId="3"/>
    <cellStyle name="Migliaia" xfId="6" builtinId="3"/>
    <cellStyle name="Migliaia (0)_Foglio1" xfId="8"/>
    <cellStyle name="Migliaia [0] 2" xfId="2"/>
    <cellStyle name="Migliaia 2" xfId="9"/>
    <cellStyle name="Migliaia 2 2" xfId="10"/>
    <cellStyle name="Migliaia 3" xfId="11"/>
    <cellStyle name="Migliaia 4" xfId="19"/>
    <cellStyle name="Normale" xfId="0" builtinId="0"/>
    <cellStyle name="Normale 2" xfId="4"/>
    <cellStyle name="Normale 3" xfId="1"/>
    <cellStyle name="Normale 4" xfId="5"/>
    <cellStyle name="Normale 5" xfId="12"/>
    <cellStyle name="Normale 5 2" xfId="13"/>
    <cellStyle name="Normale 6" xfId="14"/>
    <cellStyle name="Normale 7" xfId="18"/>
    <cellStyle name="Normale_DETTAGLI" xfId="16"/>
    <cellStyle name="Normale_DETTAGLI 2" xfId="17"/>
    <cellStyle name="Percentuale" xfId="7" builtinId="5"/>
    <cellStyle name="Valuta (0)_Foglio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topLeftCell="A10" zoomScaleNormal="100" workbookViewId="0">
      <selection activeCell="A2" sqref="A2"/>
    </sheetView>
  </sheetViews>
  <sheetFormatPr defaultRowHeight="15" x14ac:dyDescent="0.25"/>
  <cols>
    <col min="1" max="1" width="7" style="34" customWidth="1"/>
    <col min="2" max="2" width="5.140625" style="34" customWidth="1"/>
    <col min="3" max="3" width="65.5703125" style="34" customWidth="1"/>
    <col min="4" max="5" width="14.140625" style="34" customWidth="1"/>
    <col min="6" max="253" width="9.140625" style="34"/>
    <col min="254" max="254" width="7" style="34" customWidth="1"/>
    <col min="255" max="255" width="5.140625" style="34" customWidth="1"/>
    <col min="256" max="256" width="65.5703125" style="34" customWidth="1"/>
    <col min="257" max="257" width="12" style="34" customWidth="1"/>
    <col min="258" max="258" width="11.85546875" style="34" customWidth="1"/>
    <col min="259" max="259" width="12.42578125" style="34" customWidth="1"/>
    <col min="260" max="260" width="12.5703125" style="34" customWidth="1"/>
    <col min="261" max="261" width="13.28515625" style="34" customWidth="1"/>
    <col min="262" max="509" width="9.140625" style="34"/>
    <col min="510" max="510" width="7" style="34" customWidth="1"/>
    <col min="511" max="511" width="5.140625" style="34" customWidth="1"/>
    <col min="512" max="512" width="65.5703125" style="34" customWidth="1"/>
    <col min="513" max="513" width="12" style="34" customWidth="1"/>
    <col min="514" max="514" width="11.85546875" style="34" customWidth="1"/>
    <col min="515" max="515" width="12.42578125" style="34" customWidth="1"/>
    <col min="516" max="516" width="12.5703125" style="34" customWidth="1"/>
    <col min="517" max="517" width="13.28515625" style="34" customWidth="1"/>
    <col min="518" max="765" width="9.140625" style="34"/>
    <col min="766" max="766" width="7" style="34" customWidth="1"/>
    <col min="767" max="767" width="5.140625" style="34" customWidth="1"/>
    <col min="768" max="768" width="65.5703125" style="34" customWidth="1"/>
    <col min="769" max="769" width="12" style="34" customWidth="1"/>
    <col min="770" max="770" width="11.85546875" style="34" customWidth="1"/>
    <col min="771" max="771" width="12.42578125" style="34" customWidth="1"/>
    <col min="772" max="772" width="12.5703125" style="34" customWidth="1"/>
    <col min="773" max="773" width="13.28515625" style="34" customWidth="1"/>
    <col min="774" max="1021" width="9.140625" style="34"/>
    <col min="1022" max="1022" width="7" style="34" customWidth="1"/>
    <col min="1023" max="1023" width="5.140625" style="34" customWidth="1"/>
    <col min="1024" max="1024" width="65.5703125" style="34" customWidth="1"/>
    <col min="1025" max="1025" width="12" style="34" customWidth="1"/>
    <col min="1026" max="1026" width="11.85546875" style="34" customWidth="1"/>
    <col min="1027" max="1027" width="12.42578125" style="34" customWidth="1"/>
    <col min="1028" max="1028" width="12.5703125" style="34" customWidth="1"/>
    <col min="1029" max="1029" width="13.28515625" style="34" customWidth="1"/>
    <col min="1030" max="1277" width="9.140625" style="34"/>
    <col min="1278" max="1278" width="7" style="34" customWidth="1"/>
    <col min="1279" max="1279" width="5.140625" style="34" customWidth="1"/>
    <col min="1280" max="1280" width="65.5703125" style="34" customWidth="1"/>
    <col min="1281" max="1281" width="12" style="34" customWidth="1"/>
    <col min="1282" max="1282" width="11.85546875" style="34" customWidth="1"/>
    <col min="1283" max="1283" width="12.42578125" style="34" customWidth="1"/>
    <col min="1284" max="1284" width="12.5703125" style="34" customWidth="1"/>
    <col min="1285" max="1285" width="13.28515625" style="34" customWidth="1"/>
    <col min="1286" max="1533" width="9.140625" style="34"/>
    <col min="1534" max="1534" width="7" style="34" customWidth="1"/>
    <col min="1535" max="1535" width="5.140625" style="34" customWidth="1"/>
    <col min="1536" max="1536" width="65.5703125" style="34" customWidth="1"/>
    <col min="1537" max="1537" width="12" style="34" customWidth="1"/>
    <col min="1538" max="1538" width="11.85546875" style="34" customWidth="1"/>
    <col min="1539" max="1539" width="12.42578125" style="34" customWidth="1"/>
    <col min="1540" max="1540" width="12.5703125" style="34" customWidth="1"/>
    <col min="1541" max="1541" width="13.28515625" style="34" customWidth="1"/>
    <col min="1542" max="1789" width="9.140625" style="34"/>
    <col min="1790" max="1790" width="7" style="34" customWidth="1"/>
    <col min="1791" max="1791" width="5.140625" style="34" customWidth="1"/>
    <col min="1792" max="1792" width="65.5703125" style="34" customWidth="1"/>
    <col min="1793" max="1793" width="12" style="34" customWidth="1"/>
    <col min="1794" max="1794" width="11.85546875" style="34" customWidth="1"/>
    <col min="1795" max="1795" width="12.42578125" style="34" customWidth="1"/>
    <col min="1796" max="1796" width="12.5703125" style="34" customWidth="1"/>
    <col min="1797" max="1797" width="13.28515625" style="34" customWidth="1"/>
    <col min="1798" max="2045" width="9.140625" style="34"/>
    <col min="2046" max="2046" width="7" style="34" customWidth="1"/>
    <col min="2047" max="2047" width="5.140625" style="34" customWidth="1"/>
    <col min="2048" max="2048" width="65.5703125" style="34" customWidth="1"/>
    <col min="2049" max="2049" width="12" style="34" customWidth="1"/>
    <col min="2050" max="2050" width="11.85546875" style="34" customWidth="1"/>
    <col min="2051" max="2051" width="12.42578125" style="34" customWidth="1"/>
    <col min="2052" max="2052" width="12.5703125" style="34" customWidth="1"/>
    <col min="2053" max="2053" width="13.28515625" style="34" customWidth="1"/>
    <col min="2054" max="2301" width="9.140625" style="34"/>
    <col min="2302" max="2302" width="7" style="34" customWidth="1"/>
    <col min="2303" max="2303" width="5.140625" style="34" customWidth="1"/>
    <col min="2304" max="2304" width="65.5703125" style="34" customWidth="1"/>
    <col min="2305" max="2305" width="12" style="34" customWidth="1"/>
    <col min="2306" max="2306" width="11.85546875" style="34" customWidth="1"/>
    <col min="2307" max="2307" width="12.42578125" style="34" customWidth="1"/>
    <col min="2308" max="2308" width="12.5703125" style="34" customWidth="1"/>
    <col min="2309" max="2309" width="13.28515625" style="34" customWidth="1"/>
    <col min="2310" max="2557" width="9.140625" style="34"/>
    <col min="2558" max="2558" width="7" style="34" customWidth="1"/>
    <col min="2559" max="2559" width="5.140625" style="34" customWidth="1"/>
    <col min="2560" max="2560" width="65.5703125" style="34" customWidth="1"/>
    <col min="2561" max="2561" width="12" style="34" customWidth="1"/>
    <col min="2562" max="2562" width="11.85546875" style="34" customWidth="1"/>
    <col min="2563" max="2563" width="12.42578125" style="34" customWidth="1"/>
    <col min="2564" max="2564" width="12.5703125" style="34" customWidth="1"/>
    <col min="2565" max="2565" width="13.28515625" style="34" customWidth="1"/>
    <col min="2566" max="2813" width="9.140625" style="34"/>
    <col min="2814" max="2814" width="7" style="34" customWidth="1"/>
    <col min="2815" max="2815" width="5.140625" style="34" customWidth="1"/>
    <col min="2816" max="2816" width="65.5703125" style="34" customWidth="1"/>
    <col min="2817" max="2817" width="12" style="34" customWidth="1"/>
    <col min="2818" max="2818" width="11.85546875" style="34" customWidth="1"/>
    <col min="2819" max="2819" width="12.42578125" style="34" customWidth="1"/>
    <col min="2820" max="2820" width="12.5703125" style="34" customWidth="1"/>
    <col min="2821" max="2821" width="13.28515625" style="34" customWidth="1"/>
    <col min="2822" max="3069" width="9.140625" style="34"/>
    <col min="3070" max="3070" width="7" style="34" customWidth="1"/>
    <col min="3071" max="3071" width="5.140625" style="34" customWidth="1"/>
    <col min="3072" max="3072" width="65.5703125" style="34" customWidth="1"/>
    <col min="3073" max="3073" width="12" style="34" customWidth="1"/>
    <col min="3074" max="3074" width="11.85546875" style="34" customWidth="1"/>
    <col min="3075" max="3075" width="12.42578125" style="34" customWidth="1"/>
    <col min="3076" max="3076" width="12.5703125" style="34" customWidth="1"/>
    <col min="3077" max="3077" width="13.28515625" style="34" customWidth="1"/>
    <col min="3078" max="3325" width="9.140625" style="34"/>
    <col min="3326" max="3326" width="7" style="34" customWidth="1"/>
    <col min="3327" max="3327" width="5.140625" style="34" customWidth="1"/>
    <col min="3328" max="3328" width="65.5703125" style="34" customWidth="1"/>
    <col min="3329" max="3329" width="12" style="34" customWidth="1"/>
    <col min="3330" max="3330" width="11.85546875" style="34" customWidth="1"/>
    <col min="3331" max="3331" width="12.42578125" style="34" customWidth="1"/>
    <col min="3332" max="3332" width="12.5703125" style="34" customWidth="1"/>
    <col min="3333" max="3333" width="13.28515625" style="34" customWidth="1"/>
    <col min="3334" max="3581" width="9.140625" style="34"/>
    <col min="3582" max="3582" width="7" style="34" customWidth="1"/>
    <col min="3583" max="3583" width="5.140625" style="34" customWidth="1"/>
    <col min="3584" max="3584" width="65.5703125" style="34" customWidth="1"/>
    <col min="3585" max="3585" width="12" style="34" customWidth="1"/>
    <col min="3586" max="3586" width="11.85546875" style="34" customWidth="1"/>
    <col min="3587" max="3587" width="12.42578125" style="34" customWidth="1"/>
    <col min="3588" max="3588" width="12.5703125" style="34" customWidth="1"/>
    <col min="3589" max="3589" width="13.28515625" style="34" customWidth="1"/>
    <col min="3590" max="3837" width="9.140625" style="34"/>
    <col min="3838" max="3838" width="7" style="34" customWidth="1"/>
    <col min="3839" max="3839" width="5.140625" style="34" customWidth="1"/>
    <col min="3840" max="3840" width="65.5703125" style="34" customWidth="1"/>
    <col min="3841" max="3841" width="12" style="34" customWidth="1"/>
    <col min="3842" max="3842" width="11.85546875" style="34" customWidth="1"/>
    <col min="3843" max="3843" width="12.42578125" style="34" customWidth="1"/>
    <col min="3844" max="3844" width="12.5703125" style="34" customWidth="1"/>
    <col min="3845" max="3845" width="13.28515625" style="34" customWidth="1"/>
    <col min="3846" max="4093" width="9.140625" style="34"/>
    <col min="4094" max="4094" width="7" style="34" customWidth="1"/>
    <col min="4095" max="4095" width="5.140625" style="34" customWidth="1"/>
    <col min="4096" max="4096" width="65.5703125" style="34" customWidth="1"/>
    <col min="4097" max="4097" width="12" style="34" customWidth="1"/>
    <col min="4098" max="4098" width="11.85546875" style="34" customWidth="1"/>
    <col min="4099" max="4099" width="12.42578125" style="34" customWidth="1"/>
    <col min="4100" max="4100" width="12.5703125" style="34" customWidth="1"/>
    <col min="4101" max="4101" width="13.28515625" style="34" customWidth="1"/>
    <col min="4102" max="4349" width="9.140625" style="34"/>
    <col min="4350" max="4350" width="7" style="34" customWidth="1"/>
    <col min="4351" max="4351" width="5.140625" style="34" customWidth="1"/>
    <col min="4352" max="4352" width="65.5703125" style="34" customWidth="1"/>
    <col min="4353" max="4353" width="12" style="34" customWidth="1"/>
    <col min="4354" max="4354" width="11.85546875" style="34" customWidth="1"/>
    <col min="4355" max="4355" width="12.42578125" style="34" customWidth="1"/>
    <col min="4356" max="4356" width="12.5703125" style="34" customWidth="1"/>
    <col min="4357" max="4357" width="13.28515625" style="34" customWidth="1"/>
    <col min="4358" max="4605" width="9.140625" style="34"/>
    <col min="4606" max="4606" width="7" style="34" customWidth="1"/>
    <col min="4607" max="4607" width="5.140625" style="34" customWidth="1"/>
    <col min="4608" max="4608" width="65.5703125" style="34" customWidth="1"/>
    <col min="4609" max="4609" width="12" style="34" customWidth="1"/>
    <col min="4610" max="4610" width="11.85546875" style="34" customWidth="1"/>
    <col min="4611" max="4611" width="12.42578125" style="34" customWidth="1"/>
    <col min="4612" max="4612" width="12.5703125" style="34" customWidth="1"/>
    <col min="4613" max="4613" width="13.28515625" style="34" customWidth="1"/>
    <col min="4614" max="4861" width="9.140625" style="34"/>
    <col min="4862" max="4862" width="7" style="34" customWidth="1"/>
    <col min="4863" max="4863" width="5.140625" style="34" customWidth="1"/>
    <col min="4864" max="4864" width="65.5703125" style="34" customWidth="1"/>
    <col min="4865" max="4865" width="12" style="34" customWidth="1"/>
    <col min="4866" max="4866" width="11.85546875" style="34" customWidth="1"/>
    <col min="4867" max="4867" width="12.42578125" style="34" customWidth="1"/>
    <col min="4868" max="4868" width="12.5703125" style="34" customWidth="1"/>
    <col min="4869" max="4869" width="13.28515625" style="34" customWidth="1"/>
    <col min="4870" max="5117" width="9.140625" style="34"/>
    <col min="5118" max="5118" width="7" style="34" customWidth="1"/>
    <col min="5119" max="5119" width="5.140625" style="34" customWidth="1"/>
    <col min="5120" max="5120" width="65.5703125" style="34" customWidth="1"/>
    <col min="5121" max="5121" width="12" style="34" customWidth="1"/>
    <col min="5122" max="5122" width="11.85546875" style="34" customWidth="1"/>
    <col min="5123" max="5123" width="12.42578125" style="34" customWidth="1"/>
    <col min="5124" max="5124" width="12.5703125" style="34" customWidth="1"/>
    <col min="5125" max="5125" width="13.28515625" style="34" customWidth="1"/>
    <col min="5126" max="5373" width="9.140625" style="34"/>
    <col min="5374" max="5374" width="7" style="34" customWidth="1"/>
    <col min="5375" max="5375" width="5.140625" style="34" customWidth="1"/>
    <col min="5376" max="5376" width="65.5703125" style="34" customWidth="1"/>
    <col min="5377" max="5377" width="12" style="34" customWidth="1"/>
    <col min="5378" max="5378" width="11.85546875" style="34" customWidth="1"/>
    <col min="5379" max="5379" width="12.42578125" style="34" customWidth="1"/>
    <col min="5380" max="5380" width="12.5703125" style="34" customWidth="1"/>
    <col min="5381" max="5381" width="13.28515625" style="34" customWidth="1"/>
    <col min="5382" max="5629" width="9.140625" style="34"/>
    <col min="5630" max="5630" width="7" style="34" customWidth="1"/>
    <col min="5631" max="5631" width="5.140625" style="34" customWidth="1"/>
    <col min="5632" max="5632" width="65.5703125" style="34" customWidth="1"/>
    <col min="5633" max="5633" width="12" style="34" customWidth="1"/>
    <col min="5634" max="5634" width="11.85546875" style="34" customWidth="1"/>
    <col min="5635" max="5635" width="12.42578125" style="34" customWidth="1"/>
    <col min="5636" max="5636" width="12.5703125" style="34" customWidth="1"/>
    <col min="5637" max="5637" width="13.28515625" style="34" customWidth="1"/>
    <col min="5638" max="5885" width="9.140625" style="34"/>
    <col min="5886" max="5886" width="7" style="34" customWidth="1"/>
    <col min="5887" max="5887" width="5.140625" style="34" customWidth="1"/>
    <col min="5888" max="5888" width="65.5703125" style="34" customWidth="1"/>
    <col min="5889" max="5889" width="12" style="34" customWidth="1"/>
    <col min="5890" max="5890" width="11.85546875" style="34" customWidth="1"/>
    <col min="5891" max="5891" width="12.42578125" style="34" customWidth="1"/>
    <col min="5892" max="5892" width="12.5703125" style="34" customWidth="1"/>
    <col min="5893" max="5893" width="13.28515625" style="34" customWidth="1"/>
    <col min="5894" max="6141" width="9.140625" style="34"/>
    <col min="6142" max="6142" width="7" style="34" customWidth="1"/>
    <col min="6143" max="6143" width="5.140625" style="34" customWidth="1"/>
    <col min="6144" max="6144" width="65.5703125" style="34" customWidth="1"/>
    <col min="6145" max="6145" width="12" style="34" customWidth="1"/>
    <col min="6146" max="6146" width="11.85546875" style="34" customWidth="1"/>
    <col min="6147" max="6147" width="12.42578125" style="34" customWidth="1"/>
    <col min="6148" max="6148" width="12.5703125" style="34" customWidth="1"/>
    <col min="6149" max="6149" width="13.28515625" style="34" customWidth="1"/>
    <col min="6150" max="6397" width="9.140625" style="34"/>
    <col min="6398" max="6398" width="7" style="34" customWidth="1"/>
    <col min="6399" max="6399" width="5.140625" style="34" customWidth="1"/>
    <col min="6400" max="6400" width="65.5703125" style="34" customWidth="1"/>
    <col min="6401" max="6401" width="12" style="34" customWidth="1"/>
    <col min="6402" max="6402" width="11.85546875" style="34" customWidth="1"/>
    <col min="6403" max="6403" width="12.42578125" style="34" customWidth="1"/>
    <col min="6404" max="6404" width="12.5703125" style="34" customWidth="1"/>
    <col min="6405" max="6405" width="13.28515625" style="34" customWidth="1"/>
    <col min="6406" max="6653" width="9.140625" style="34"/>
    <col min="6654" max="6654" width="7" style="34" customWidth="1"/>
    <col min="6655" max="6655" width="5.140625" style="34" customWidth="1"/>
    <col min="6656" max="6656" width="65.5703125" style="34" customWidth="1"/>
    <col min="6657" max="6657" width="12" style="34" customWidth="1"/>
    <col min="6658" max="6658" width="11.85546875" style="34" customWidth="1"/>
    <col min="6659" max="6659" width="12.42578125" style="34" customWidth="1"/>
    <col min="6660" max="6660" width="12.5703125" style="34" customWidth="1"/>
    <col min="6661" max="6661" width="13.28515625" style="34" customWidth="1"/>
    <col min="6662" max="6909" width="9.140625" style="34"/>
    <col min="6910" max="6910" width="7" style="34" customWidth="1"/>
    <col min="6911" max="6911" width="5.140625" style="34" customWidth="1"/>
    <col min="6912" max="6912" width="65.5703125" style="34" customWidth="1"/>
    <col min="6913" max="6913" width="12" style="34" customWidth="1"/>
    <col min="6914" max="6914" width="11.85546875" style="34" customWidth="1"/>
    <col min="6915" max="6915" width="12.42578125" style="34" customWidth="1"/>
    <col min="6916" max="6916" width="12.5703125" style="34" customWidth="1"/>
    <col min="6917" max="6917" width="13.28515625" style="34" customWidth="1"/>
    <col min="6918" max="7165" width="9.140625" style="34"/>
    <col min="7166" max="7166" width="7" style="34" customWidth="1"/>
    <col min="7167" max="7167" width="5.140625" style="34" customWidth="1"/>
    <col min="7168" max="7168" width="65.5703125" style="34" customWidth="1"/>
    <col min="7169" max="7169" width="12" style="34" customWidth="1"/>
    <col min="7170" max="7170" width="11.85546875" style="34" customWidth="1"/>
    <col min="7171" max="7171" width="12.42578125" style="34" customWidth="1"/>
    <col min="7172" max="7172" width="12.5703125" style="34" customWidth="1"/>
    <col min="7173" max="7173" width="13.28515625" style="34" customWidth="1"/>
    <col min="7174" max="7421" width="9.140625" style="34"/>
    <col min="7422" max="7422" width="7" style="34" customWidth="1"/>
    <col min="7423" max="7423" width="5.140625" style="34" customWidth="1"/>
    <col min="7424" max="7424" width="65.5703125" style="34" customWidth="1"/>
    <col min="7425" max="7425" width="12" style="34" customWidth="1"/>
    <col min="7426" max="7426" width="11.85546875" style="34" customWidth="1"/>
    <col min="7427" max="7427" width="12.42578125" style="34" customWidth="1"/>
    <col min="7428" max="7428" width="12.5703125" style="34" customWidth="1"/>
    <col min="7429" max="7429" width="13.28515625" style="34" customWidth="1"/>
    <col min="7430" max="7677" width="9.140625" style="34"/>
    <col min="7678" max="7678" width="7" style="34" customWidth="1"/>
    <col min="7679" max="7679" width="5.140625" style="34" customWidth="1"/>
    <col min="7680" max="7680" width="65.5703125" style="34" customWidth="1"/>
    <col min="7681" max="7681" width="12" style="34" customWidth="1"/>
    <col min="7682" max="7682" width="11.85546875" style="34" customWidth="1"/>
    <col min="7683" max="7683" width="12.42578125" style="34" customWidth="1"/>
    <col min="7684" max="7684" width="12.5703125" style="34" customWidth="1"/>
    <col min="7685" max="7685" width="13.28515625" style="34" customWidth="1"/>
    <col min="7686" max="7933" width="9.140625" style="34"/>
    <col min="7934" max="7934" width="7" style="34" customWidth="1"/>
    <col min="7935" max="7935" width="5.140625" style="34" customWidth="1"/>
    <col min="7936" max="7936" width="65.5703125" style="34" customWidth="1"/>
    <col min="7937" max="7937" width="12" style="34" customWidth="1"/>
    <col min="7938" max="7938" width="11.85546875" style="34" customWidth="1"/>
    <col min="7939" max="7939" width="12.42578125" style="34" customWidth="1"/>
    <col min="7940" max="7940" width="12.5703125" style="34" customWidth="1"/>
    <col min="7941" max="7941" width="13.28515625" style="34" customWidth="1"/>
    <col min="7942" max="8189" width="9.140625" style="34"/>
    <col min="8190" max="8190" width="7" style="34" customWidth="1"/>
    <col min="8191" max="8191" width="5.140625" style="34" customWidth="1"/>
    <col min="8192" max="8192" width="65.5703125" style="34" customWidth="1"/>
    <col min="8193" max="8193" width="12" style="34" customWidth="1"/>
    <col min="8194" max="8194" width="11.85546875" style="34" customWidth="1"/>
    <col min="8195" max="8195" width="12.42578125" style="34" customWidth="1"/>
    <col min="8196" max="8196" width="12.5703125" style="34" customWidth="1"/>
    <col min="8197" max="8197" width="13.28515625" style="34" customWidth="1"/>
    <col min="8198" max="8445" width="9.140625" style="34"/>
    <col min="8446" max="8446" width="7" style="34" customWidth="1"/>
    <col min="8447" max="8447" width="5.140625" style="34" customWidth="1"/>
    <col min="8448" max="8448" width="65.5703125" style="34" customWidth="1"/>
    <col min="8449" max="8449" width="12" style="34" customWidth="1"/>
    <col min="8450" max="8450" width="11.85546875" style="34" customWidth="1"/>
    <col min="8451" max="8451" width="12.42578125" style="34" customWidth="1"/>
    <col min="8452" max="8452" width="12.5703125" style="34" customWidth="1"/>
    <col min="8453" max="8453" width="13.28515625" style="34" customWidth="1"/>
    <col min="8454" max="8701" width="9.140625" style="34"/>
    <col min="8702" max="8702" width="7" style="34" customWidth="1"/>
    <col min="8703" max="8703" width="5.140625" style="34" customWidth="1"/>
    <col min="8704" max="8704" width="65.5703125" style="34" customWidth="1"/>
    <col min="8705" max="8705" width="12" style="34" customWidth="1"/>
    <col min="8706" max="8706" width="11.85546875" style="34" customWidth="1"/>
    <col min="8707" max="8707" width="12.42578125" style="34" customWidth="1"/>
    <col min="8708" max="8708" width="12.5703125" style="34" customWidth="1"/>
    <col min="8709" max="8709" width="13.28515625" style="34" customWidth="1"/>
    <col min="8710" max="8957" width="9.140625" style="34"/>
    <col min="8958" max="8958" width="7" style="34" customWidth="1"/>
    <col min="8959" max="8959" width="5.140625" style="34" customWidth="1"/>
    <col min="8960" max="8960" width="65.5703125" style="34" customWidth="1"/>
    <col min="8961" max="8961" width="12" style="34" customWidth="1"/>
    <col min="8962" max="8962" width="11.85546875" style="34" customWidth="1"/>
    <col min="8963" max="8963" width="12.42578125" style="34" customWidth="1"/>
    <col min="8964" max="8964" width="12.5703125" style="34" customWidth="1"/>
    <col min="8965" max="8965" width="13.28515625" style="34" customWidth="1"/>
    <col min="8966" max="9213" width="9.140625" style="34"/>
    <col min="9214" max="9214" width="7" style="34" customWidth="1"/>
    <col min="9215" max="9215" width="5.140625" style="34" customWidth="1"/>
    <col min="9216" max="9216" width="65.5703125" style="34" customWidth="1"/>
    <col min="9217" max="9217" width="12" style="34" customWidth="1"/>
    <col min="9218" max="9218" width="11.85546875" style="34" customWidth="1"/>
    <col min="9219" max="9219" width="12.42578125" style="34" customWidth="1"/>
    <col min="9220" max="9220" width="12.5703125" style="34" customWidth="1"/>
    <col min="9221" max="9221" width="13.28515625" style="34" customWidth="1"/>
    <col min="9222" max="9469" width="9.140625" style="34"/>
    <col min="9470" max="9470" width="7" style="34" customWidth="1"/>
    <col min="9471" max="9471" width="5.140625" style="34" customWidth="1"/>
    <col min="9472" max="9472" width="65.5703125" style="34" customWidth="1"/>
    <col min="9473" max="9473" width="12" style="34" customWidth="1"/>
    <col min="9474" max="9474" width="11.85546875" style="34" customWidth="1"/>
    <col min="9475" max="9475" width="12.42578125" style="34" customWidth="1"/>
    <col min="9476" max="9476" width="12.5703125" style="34" customWidth="1"/>
    <col min="9477" max="9477" width="13.28515625" style="34" customWidth="1"/>
    <col min="9478" max="9725" width="9.140625" style="34"/>
    <col min="9726" max="9726" width="7" style="34" customWidth="1"/>
    <col min="9727" max="9727" width="5.140625" style="34" customWidth="1"/>
    <col min="9728" max="9728" width="65.5703125" style="34" customWidth="1"/>
    <col min="9729" max="9729" width="12" style="34" customWidth="1"/>
    <col min="9730" max="9730" width="11.85546875" style="34" customWidth="1"/>
    <col min="9731" max="9731" width="12.42578125" style="34" customWidth="1"/>
    <col min="9732" max="9732" width="12.5703125" style="34" customWidth="1"/>
    <col min="9733" max="9733" width="13.28515625" style="34" customWidth="1"/>
    <col min="9734" max="9981" width="9.140625" style="34"/>
    <col min="9982" max="9982" width="7" style="34" customWidth="1"/>
    <col min="9983" max="9983" width="5.140625" style="34" customWidth="1"/>
    <col min="9984" max="9984" width="65.5703125" style="34" customWidth="1"/>
    <col min="9985" max="9985" width="12" style="34" customWidth="1"/>
    <col min="9986" max="9986" width="11.85546875" style="34" customWidth="1"/>
    <col min="9987" max="9987" width="12.42578125" style="34" customWidth="1"/>
    <col min="9988" max="9988" width="12.5703125" style="34" customWidth="1"/>
    <col min="9989" max="9989" width="13.28515625" style="34" customWidth="1"/>
    <col min="9990" max="10237" width="9.140625" style="34"/>
    <col min="10238" max="10238" width="7" style="34" customWidth="1"/>
    <col min="10239" max="10239" width="5.140625" style="34" customWidth="1"/>
    <col min="10240" max="10240" width="65.5703125" style="34" customWidth="1"/>
    <col min="10241" max="10241" width="12" style="34" customWidth="1"/>
    <col min="10242" max="10242" width="11.85546875" style="34" customWidth="1"/>
    <col min="10243" max="10243" width="12.42578125" style="34" customWidth="1"/>
    <col min="10244" max="10244" width="12.5703125" style="34" customWidth="1"/>
    <col min="10245" max="10245" width="13.28515625" style="34" customWidth="1"/>
    <col min="10246" max="10493" width="9.140625" style="34"/>
    <col min="10494" max="10494" width="7" style="34" customWidth="1"/>
    <col min="10495" max="10495" width="5.140625" style="34" customWidth="1"/>
    <col min="10496" max="10496" width="65.5703125" style="34" customWidth="1"/>
    <col min="10497" max="10497" width="12" style="34" customWidth="1"/>
    <col min="10498" max="10498" width="11.85546875" style="34" customWidth="1"/>
    <col min="10499" max="10499" width="12.42578125" style="34" customWidth="1"/>
    <col min="10500" max="10500" width="12.5703125" style="34" customWidth="1"/>
    <col min="10501" max="10501" width="13.28515625" style="34" customWidth="1"/>
    <col min="10502" max="10749" width="9.140625" style="34"/>
    <col min="10750" max="10750" width="7" style="34" customWidth="1"/>
    <col min="10751" max="10751" width="5.140625" style="34" customWidth="1"/>
    <col min="10752" max="10752" width="65.5703125" style="34" customWidth="1"/>
    <col min="10753" max="10753" width="12" style="34" customWidth="1"/>
    <col min="10754" max="10754" width="11.85546875" style="34" customWidth="1"/>
    <col min="10755" max="10755" width="12.42578125" style="34" customWidth="1"/>
    <col min="10756" max="10756" width="12.5703125" style="34" customWidth="1"/>
    <col min="10757" max="10757" width="13.28515625" style="34" customWidth="1"/>
    <col min="10758" max="11005" width="9.140625" style="34"/>
    <col min="11006" max="11006" width="7" style="34" customWidth="1"/>
    <col min="11007" max="11007" width="5.140625" style="34" customWidth="1"/>
    <col min="11008" max="11008" width="65.5703125" style="34" customWidth="1"/>
    <col min="11009" max="11009" width="12" style="34" customWidth="1"/>
    <col min="11010" max="11010" width="11.85546875" style="34" customWidth="1"/>
    <col min="11011" max="11011" width="12.42578125" style="34" customWidth="1"/>
    <col min="11012" max="11012" width="12.5703125" style="34" customWidth="1"/>
    <col min="11013" max="11013" width="13.28515625" style="34" customWidth="1"/>
    <col min="11014" max="11261" width="9.140625" style="34"/>
    <col min="11262" max="11262" width="7" style="34" customWidth="1"/>
    <col min="11263" max="11263" width="5.140625" style="34" customWidth="1"/>
    <col min="11264" max="11264" width="65.5703125" style="34" customWidth="1"/>
    <col min="11265" max="11265" width="12" style="34" customWidth="1"/>
    <col min="11266" max="11266" width="11.85546875" style="34" customWidth="1"/>
    <col min="11267" max="11267" width="12.42578125" style="34" customWidth="1"/>
    <col min="11268" max="11268" width="12.5703125" style="34" customWidth="1"/>
    <col min="11269" max="11269" width="13.28515625" style="34" customWidth="1"/>
    <col min="11270" max="11517" width="9.140625" style="34"/>
    <col min="11518" max="11518" width="7" style="34" customWidth="1"/>
    <col min="11519" max="11519" width="5.140625" style="34" customWidth="1"/>
    <col min="11520" max="11520" width="65.5703125" style="34" customWidth="1"/>
    <col min="11521" max="11521" width="12" style="34" customWidth="1"/>
    <col min="11522" max="11522" width="11.85546875" style="34" customWidth="1"/>
    <col min="11523" max="11523" width="12.42578125" style="34" customWidth="1"/>
    <col min="11524" max="11524" width="12.5703125" style="34" customWidth="1"/>
    <col min="11525" max="11525" width="13.28515625" style="34" customWidth="1"/>
    <col min="11526" max="11773" width="9.140625" style="34"/>
    <col min="11774" max="11774" width="7" style="34" customWidth="1"/>
    <col min="11775" max="11775" width="5.140625" style="34" customWidth="1"/>
    <col min="11776" max="11776" width="65.5703125" style="34" customWidth="1"/>
    <col min="11777" max="11777" width="12" style="34" customWidth="1"/>
    <col min="11778" max="11778" width="11.85546875" style="34" customWidth="1"/>
    <col min="11779" max="11779" width="12.42578125" style="34" customWidth="1"/>
    <col min="11780" max="11780" width="12.5703125" style="34" customWidth="1"/>
    <col min="11781" max="11781" width="13.28515625" style="34" customWidth="1"/>
    <col min="11782" max="12029" width="9.140625" style="34"/>
    <col min="12030" max="12030" width="7" style="34" customWidth="1"/>
    <col min="12031" max="12031" width="5.140625" style="34" customWidth="1"/>
    <col min="12032" max="12032" width="65.5703125" style="34" customWidth="1"/>
    <col min="12033" max="12033" width="12" style="34" customWidth="1"/>
    <col min="12034" max="12034" width="11.85546875" style="34" customWidth="1"/>
    <col min="12035" max="12035" width="12.42578125" style="34" customWidth="1"/>
    <col min="12036" max="12036" width="12.5703125" style="34" customWidth="1"/>
    <col min="12037" max="12037" width="13.28515625" style="34" customWidth="1"/>
    <col min="12038" max="12285" width="9.140625" style="34"/>
    <col min="12286" max="12286" width="7" style="34" customWidth="1"/>
    <col min="12287" max="12287" width="5.140625" style="34" customWidth="1"/>
    <col min="12288" max="12288" width="65.5703125" style="34" customWidth="1"/>
    <col min="12289" max="12289" width="12" style="34" customWidth="1"/>
    <col min="12290" max="12290" width="11.85546875" style="34" customWidth="1"/>
    <col min="12291" max="12291" width="12.42578125" style="34" customWidth="1"/>
    <col min="12292" max="12292" width="12.5703125" style="34" customWidth="1"/>
    <col min="12293" max="12293" width="13.28515625" style="34" customWidth="1"/>
    <col min="12294" max="12541" width="9.140625" style="34"/>
    <col min="12542" max="12542" width="7" style="34" customWidth="1"/>
    <col min="12543" max="12543" width="5.140625" style="34" customWidth="1"/>
    <col min="12544" max="12544" width="65.5703125" style="34" customWidth="1"/>
    <col min="12545" max="12545" width="12" style="34" customWidth="1"/>
    <col min="12546" max="12546" width="11.85546875" style="34" customWidth="1"/>
    <col min="12547" max="12547" width="12.42578125" style="34" customWidth="1"/>
    <col min="12548" max="12548" width="12.5703125" style="34" customWidth="1"/>
    <col min="12549" max="12549" width="13.28515625" style="34" customWidth="1"/>
    <col min="12550" max="12797" width="9.140625" style="34"/>
    <col min="12798" max="12798" width="7" style="34" customWidth="1"/>
    <col min="12799" max="12799" width="5.140625" style="34" customWidth="1"/>
    <col min="12800" max="12800" width="65.5703125" style="34" customWidth="1"/>
    <col min="12801" max="12801" width="12" style="34" customWidth="1"/>
    <col min="12802" max="12802" width="11.85546875" style="34" customWidth="1"/>
    <col min="12803" max="12803" width="12.42578125" style="34" customWidth="1"/>
    <col min="12804" max="12804" width="12.5703125" style="34" customWidth="1"/>
    <col min="12805" max="12805" width="13.28515625" style="34" customWidth="1"/>
    <col min="12806" max="13053" width="9.140625" style="34"/>
    <col min="13054" max="13054" width="7" style="34" customWidth="1"/>
    <col min="13055" max="13055" width="5.140625" style="34" customWidth="1"/>
    <col min="13056" max="13056" width="65.5703125" style="34" customWidth="1"/>
    <col min="13057" max="13057" width="12" style="34" customWidth="1"/>
    <col min="13058" max="13058" width="11.85546875" style="34" customWidth="1"/>
    <col min="13059" max="13059" width="12.42578125" style="34" customWidth="1"/>
    <col min="13060" max="13060" width="12.5703125" style="34" customWidth="1"/>
    <col min="13061" max="13061" width="13.28515625" style="34" customWidth="1"/>
    <col min="13062" max="13309" width="9.140625" style="34"/>
    <col min="13310" max="13310" width="7" style="34" customWidth="1"/>
    <col min="13311" max="13311" width="5.140625" style="34" customWidth="1"/>
    <col min="13312" max="13312" width="65.5703125" style="34" customWidth="1"/>
    <col min="13313" max="13313" width="12" style="34" customWidth="1"/>
    <col min="13314" max="13314" width="11.85546875" style="34" customWidth="1"/>
    <col min="13315" max="13315" width="12.42578125" style="34" customWidth="1"/>
    <col min="13316" max="13316" width="12.5703125" style="34" customWidth="1"/>
    <col min="13317" max="13317" width="13.28515625" style="34" customWidth="1"/>
    <col min="13318" max="13565" width="9.140625" style="34"/>
    <col min="13566" max="13566" width="7" style="34" customWidth="1"/>
    <col min="13567" max="13567" width="5.140625" style="34" customWidth="1"/>
    <col min="13568" max="13568" width="65.5703125" style="34" customWidth="1"/>
    <col min="13569" max="13569" width="12" style="34" customWidth="1"/>
    <col min="13570" max="13570" width="11.85546875" style="34" customWidth="1"/>
    <col min="13571" max="13571" width="12.42578125" style="34" customWidth="1"/>
    <col min="13572" max="13572" width="12.5703125" style="34" customWidth="1"/>
    <col min="13573" max="13573" width="13.28515625" style="34" customWidth="1"/>
    <col min="13574" max="13821" width="9.140625" style="34"/>
    <col min="13822" max="13822" width="7" style="34" customWidth="1"/>
    <col min="13823" max="13823" width="5.140625" style="34" customWidth="1"/>
    <col min="13824" max="13824" width="65.5703125" style="34" customWidth="1"/>
    <col min="13825" max="13825" width="12" style="34" customWidth="1"/>
    <col min="13826" max="13826" width="11.85546875" style="34" customWidth="1"/>
    <col min="13827" max="13827" width="12.42578125" style="34" customWidth="1"/>
    <col min="13828" max="13828" width="12.5703125" style="34" customWidth="1"/>
    <col min="13829" max="13829" width="13.28515625" style="34" customWidth="1"/>
    <col min="13830" max="14077" width="9.140625" style="34"/>
    <col min="14078" max="14078" width="7" style="34" customWidth="1"/>
    <col min="14079" max="14079" width="5.140625" style="34" customWidth="1"/>
    <col min="14080" max="14080" width="65.5703125" style="34" customWidth="1"/>
    <col min="14081" max="14081" width="12" style="34" customWidth="1"/>
    <col min="14082" max="14082" width="11.85546875" style="34" customWidth="1"/>
    <col min="14083" max="14083" width="12.42578125" style="34" customWidth="1"/>
    <col min="14084" max="14084" width="12.5703125" style="34" customWidth="1"/>
    <col min="14085" max="14085" width="13.28515625" style="34" customWidth="1"/>
    <col min="14086" max="14333" width="9.140625" style="34"/>
    <col min="14334" max="14334" width="7" style="34" customWidth="1"/>
    <col min="14335" max="14335" width="5.140625" style="34" customWidth="1"/>
    <col min="14336" max="14336" width="65.5703125" style="34" customWidth="1"/>
    <col min="14337" max="14337" width="12" style="34" customWidth="1"/>
    <col min="14338" max="14338" width="11.85546875" style="34" customWidth="1"/>
    <col min="14339" max="14339" width="12.42578125" style="34" customWidth="1"/>
    <col min="14340" max="14340" width="12.5703125" style="34" customWidth="1"/>
    <col min="14341" max="14341" width="13.28515625" style="34" customWidth="1"/>
    <col min="14342" max="14589" width="9.140625" style="34"/>
    <col min="14590" max="14590" width="7" style="34" customWidth="1"/>
    <col min="14591" max="14591" width="5.140625" style="34" customWidth="1"/>
    <col min="14592" max="14592" width="65.5703125" style="34" customWidth="1"/>
    <col min="14593" max="14593" width="12" style="34" customWidth="1"/>
    <col min="14594" max="14594" width="11.85546875" style="34" customWidth="1"/>
    <col min="14595" max="14595" width="12.42578125" style="34" customWidth="1"/>
    <col min="14596" max="14596" width="12.5703125" style="34" customWidth="1"/>
    <col min="14597" max="14597" width="13.28515625" style="34" customWidth="1"/>
    <col min="14598" max="14845" width="9.140625" style="34"/>
    <col min="14846" max="14846" width="7" style="34" customWidth="1"/>
    <col min="14847" max="14847" width="5.140625" style="34" customWidth="1"/>
    <col min="14848" max="14848" width="65.5703125" style="34" customWidth="1"/>
    <col min="14849" max="14849" width="12" style="34" customWidth="1"/>
    <col min="14850" max="14850" width="11.85546875" style="34" customWidth="1"/>
    <col min="14851" max="14851" width="12.42578125" style="34" customWidth="1"/>
    <col min="14852" max="14852" width="12.5703125" style="34" customWidth="1"/>
    <col min="14853" max="14853" width="13.28515625" style="34" customWidth="1"/>
    <col min="14854" max="15101" width="9.140625" style="34"/>
    <col min="15102" max="15102" width="7" style="34" customWidth="1"/>
    <col min="15103" max="15103" width="5.140625" style="34" customWidth="1"/>
    <col min="15104" max="15104" width="65.5703125" style="34" customWidth="1"/>
    <col min="15105" max="15105" width="12" style="34" customWidth="1"/>
    <col min="15106" max="15106" width="11.85546875" style="34" customWidth="1"/>
    <col min="15107" max="15107" width="12.42578125" style="34" customWidth="1"/>
    <col min="15108" max="15108" width="12.5703125" style="34" customWidth="1"/>
    <col min="15109" max="15109" width="13.28515625" style="34" customWidth="1"/>
    <col min="15110" max="15357" width="9.140625" style="34"/>
    <col min="15358" max="15358" width="7" style="34" customWidth="1"/>
    <col min="15359" max="15359" width="5.140625" style="34" customWidth="1"/>
    <col min="15360" max="15360" width="65.5703125" style="34" customWidth="1"/>
    <col min="15361" max="15361" width="12" style="34" customWidth="1"/>
    <col min="15362" max="15362" width="11.85546875" style="34" customWidth="1"/>
    <col min="15363" max="15363" width="12.42578125" style="34" customWidth="1"/>
    <col min="15364" max="15364" width="12.5703125" style="34" customWidth="1"/>
    <col min="15365" max="15365" width="13.28515625" style="34" customWidth="1"/>
    <col min="15366" max="15613" width="9.140625" style="34"/>
    <col min="15614" max="15614" width="7" style="34" customWidth="1"/>
    <col min="15615" max="15615" width="5.140625" style="34" customWidth="1"/>
    <col min="15616" max="15616" width="65.5703125" style="34" customWidth="1"/>
    <col min="15617" max="15617" width="12" style="34" customWidth="1"/>
    <col min="15618" max="15618" width="11.85546875" style="34" customWidth="1"/>
    <col min="15619" max="15619" width="12.42578125" style="34" customWidth="1"/>
    <col min="15620" max="15620" width="12.5703125" style="34" customWidth="1"/>
    <col min="15621" max="15621" width="13.28515625" style="34" customWidth="1"/>
    <col min="15622" max="15869" width="9.140625" style="34"/>
    <col min="15870" max="15870" width="7" style="34" customWidth="1"/>
    <col min="15871" max="15871" width="5.140625" style="34" customWidth="1"/>
    <col min="15872" max="15872" width="65.5703125" style="34" customWidth="1"/>
    <col min="15873" max="15873" width="12" style="34" customWidth="1"/>
    <col min="15874" max="15874" width="11.85546875" style="34" customWidth="1"/>
    <col min="15875" max="15875" width="12.42578125" style="34" customWidth="1"/>
    <col min="15876" max="15876" width="12.5703125" style="34" customWidth="1"/>
    <col min="15877" max="15877" width="13.28515625" style="34" customWidth="1"/>
    <col min="15878" max="16125" width="9.140625" style="34"/>
    <col min="16126" max="16126" width="7" style="34" customWidth="1"/>
    <col min="16127" max="16127" width="5.140625" style="34" customWidth="1"/>
    <col min="16128" max="16128" width="65.5703125" style="34" customWidth="1"/>
    <col min="16129" max="16129" width="12" style="34" customWidth="1"/>
    <col min="16130" max="16130" width="11.85546875" style="34" customWidth="1"/>
    <col min="16131" max="16131" width="12.42578125" style="34" customWidth="1"/>
    <col min="16132" max="16132" width="12.5703125" style="34" customWidth="1"/>
    <col min="16133" max="16133" width="13.28515625" style="34" customWidth="1"/>
    <col min="16134" max="16384" width="9.140625" style="34"/>
  </cols>
  <sheetData>
    <row r="1" spans="1:5" ht="21" x14ac:dyDescent="0.35">
      <c r="A1" s="513" t="s">
        <v>709</v>
      </c>
      <c r="B1" s="513"/>
      <c r="C1" s="513"/>
      <c r="D1" s="513"/>
      <c r="E1" s="513"/>
    </row>
    <row r="2" spans="1:5" ht="15.75" thickBot="1" x14ac:dyDescent="0.3"/>
    <row r="3" spans="1:5" ht="15.75" thickTop="1" x14ac:dyDescent="0.25">
      <c r="A3" s="35"/>
      <c r="B3" s="4"/>
      <c r="C3" s="514" t="s">
        <v>282</v>
      </c>
      <c r="D3" s="516">
        <v>2025</v>
      </c>
      <c r="E3" s="516">
        <v>2024</v>
      </c>
    </row>
    <row r="4" spans="1:5" ht="15.75" thickBot="1" x14ac:dyDescent="0.3">
      <c r="A4" s="36"/>
      <c r="B4" s="7"/>
      <c r="C4" s="515"/>
      <c r="D4" s="517"/>
      <c r="E4" s="517"/>
    </row>
    <row r="5" spans="1:5" ht="16.5" customHeight="1" thickTop="1" x14ac:dyDescent="0.25">
      <c r="A5" s="35"/>
      <c r="B5" s="5"/>
      <c r="C5" s="10"/>
      <c r="D5" s="194"/>
      <c r="E5" s="194"/>
    </row>
    <row r="6" spans="1:5" x14ac:dyDescent="0.25">
      <c r="A6" s="37"/>
      <c r="B6" s="11"/>
      <c r="C6" s="39" t="s">
        <v>283</v>
      </c>
      <c r="D6" s="194"/>
      <c r="E6" s="194"/>
    </row>
    <row r="7" spans="1:5" x14ac:dyDescent="0.25">
      <c r="A7" s="37">
        <v>1</v>
      </c>
      <c r="B7" s="11"/>
      <c r="C7" s="10" t="s">
        <v>284</v>
      </c>
      <c r="D7" s="194">
        <f>'Accertamenti competenza'!L11</f>
        <v>454538.51</v>
      </c>
      <c r="E7" s="194">
        <v>0</v>
      </c>
    </row>
    <row r="8" spans="1:5" x14ac:dyDescent="0.25">
      <c r="A8" s="37">
        <v>2</v>
      </c>
      <c r="B8" s="11"/>
      <c r="C8" s="10" t="s">
        <v>285</v>
      </c>
      <c r="D8" s="194">
        <f>'Accertamenti competenza'!L15</f>
        <v>0</v>
      </c>
      <c r="E8" s="194">
        <v>0</v>
      </c>
    </row>
    <row r="9" spans="1:5" x14ac:dyDescent="0.25">
      <c r="A9" s="37">
        <v>3</v>
      </c>
      <c r="B9" s="11"/>
      <c r="C9" s="10" t="s">
        <v>286</v>
      </c>
      <c r="D9" s="194">
        <f>+D10+D11+D12</f>
        <v>160440.26</v>
      </c>
      <c r="E9" s="194">
        <f>+E10+E11+E12</f>
        <v>0</v>
      </c>
    </row>
    <row r="10" spans="1:5" x14ac:dyDescent="0.25">
      <c r="A10" s="37"/>
      <c r="B10" s="11" t="s">
        <v>30</v>
      </c>
      <c r="C10" s="26" t="s">
        <v>287</v>
      </c>
      <c r="D10" s="194">
        <f>'Accertamenti competenza'!L25+'Accertamenti competenza'!Q25-'Accertamenti competenza'!R25</f>
        <v>92727.44</v>
      </c>
      <c r="E10" s="194">
        <v>0</v>
      </c>
    </row>
    <row r="11" spans="1:5" x14ac:dyDescent="0.25">
      <c r="A11" s="37"/>
      <c r="B11" s="11" t="s">
        <v>51</v>
      </c>
      <c r="C11" s="26" t="s">
        <v>288</v>
      </c>
      <c r="D11" s="194">
        <f>Altre!H40+Altre!H41</f>
        <v>67712.820000000007</v>
      </c>
      <c r="E11" s="194">
        <v>0</v>
      </c>
    </row>
    <row r="12" spans="1:5" x14ac:dyDescent="0.25">
      <c r="A12" s="37"/>
      <c r="B12" s="11" t="s">
        <v>53</v>
      </c>
      <c r="C12" s="26" t="s">
        <v>289</v>
      </c>
      <c r="D12" s="194">
        <f>'Accertamenti competenza'!L43-'Accertamenti competenza'!R43</f>
        <v>0</v>
      </c>
      <c r="E12" s="194">
        <v>0</v>
      </c>
    </row>
    <row r="13" spans="1:5" x14ac:dyDescent="0.25">
      <c r="A13" s="37">
        <v>4</v>
      </c>
      <c r="B13" s="11"/>
      <c r="C13" s="10" t="s">
        <v>290</v>
      </c>
      <c r="D13" s="194">
        <f>+D14+D15+D16</f>
        <v>36970.93</v>
      </c>
      <c r="E13" s="194">
        <f>+E14+E15+E16</f>
        <v>0</v>
      </c>
    </row>
    <row r="14" spans="1:5" x14ac:dyDescent="0.25">
      <c r="A14" s="37"/>
      <c r="B14" s="11" t="s">
        <v>30</v>
      </c>
      <c r="C14" s="26" t="s">
        <v>291</v>
      </c>
      <c r="D14" s="194">
        <f>'Accertamenti competenza'!L51+'Accertamenti competenza'!Q51-'Accertamenti competenza'!R51-'Accertamenti competenza'!U51</f>
        <v>23768.47</v>
      </c>
      <c r="E14" s="194">
        <v>0</v>
      </c>
    </row>
    <row r="15" spans="1:5" x14ac:dyDescent="0.25">
      <c r="A15" s="37"/>
      <c r="B15" s="11" t="s">
        <v>51</v>
      </c>
      <c r="C15" s="26" t="s">
        <v>292</v>
      </c>
      <c r="D15" s="194">
        <f>'Accertamenti competenza'!L55+'Accertamenti competenza'!Q55-'Accertamenti competenza'!R55-'Accertamenti competenza'!U55</f>
        <v>0</v>
      </c>
      <c r="E15" s="194">
        <v>0</v>
      </c>
    </row>
    <row r="16" spans="1:5" x14ac:dyDescent="0.25">
      <c r="A16" s="37"/>
      <c r="B16" s="11" t="s">
        <v>53</v>
      </c>
      <c r="C16" s="26" t="s">
        <v>293</v>
      </c>
      <c r="D16" s="194">
        <f>'Accertamenti competenza'!L66+'Accertamenti competenza'!Q66-'Accertamenti competenza'!R66-'Accertamenti competenza'!U66</f>
        <v>13202.46</v>
      </c>
      <c r="E16" s="194">
        <v>0</v>
      </c>
    </row>
    <row r="17" spans="1:5" ht="14.25" customHeight="1" x14ac:dyDescent="0.25">
      <c r="A17" s="37">
        <v>5</v>
      </c>
      <c r="B17" s="11"/>
      <c r="C17" s="16" t="s">
        <v>294</v>
      </c>
      <c r="D17" s="194">
        <v>0</v>
      </c>
      <c r="E17" s="194">
        <v>0</v>
      </c>
    </row>
    <row r="18" spans="1:5" x14ac:dyDescent="0.25">
      <c r="A18" s="37">
        <v>6</v>
      </c>
      <c r="B18" s="11"/>
      <c r="C18" s="16" t="s">
        <v>295</v>
      </c>
      <c r="D18" s="194">
        <v>0</v>
      </c>
      <c r="E18" s="194">
        <v>0</v>
      </c>
    </row>
    <row r="19" spans="1:5" x14ac:dyDescent="0.25">
      <c r="A19" s="37">
        <v>7</v>
      </c>
      <c r="B19" s="11"/>
      <c r="C19" s="10" t="s">
        <v>296</v>
      </c>
      <c r="D19" s="194">
        <v>0</v>
      </c>
      <c r="E19" s="194">
        <v>0</v>
      </c>
    </row>
    <row r="20" spans="1:5" ht="15.75" thickBot="1" x14ac:dyDescent="0.3">
      <c r="A20" s="37">
        <v>8</v>
      </c>
      <c r="B20" s="11"/>
      <c r="C20" s="10" t="s">
        <v>297</v>
      </c>
      <c r="D20" s="195">
        <f>'Accertamenti competenza'!L73+'Accertamenti competenza'!Q73-'Accertamenti competenza'!R73-'Accertamenti competenza'!U73</f>
        <v>16423.98</v>
      </c>
      <c r="E20" s="195">
        <v>0</v>
      </c>
    </row>
    <row r="21" spans="1:5" ht="15.75" thickBot="1" x14ac:dyDescent="0.3">
      <c r="A21" s="37"/>
      <c r="B21" s="11"/>
      <c r="C21" s="17" t="s">
        <v>298</v>
      </c>
      <c r="D21" s="196">
        <f>+D7+D8+D9+D13+D17+D18+D19+D20</f>
        <v>668373.68000000005</v>
      </c>
      <c r="E21" s="196">
        <f>+E7+E8+E9+E13+E17+E18+E19+E20</f>
        <v>0</v>
      </c>
    </row>
    <row r="22" spans="1:5" x14ac:dyDescent="0.25">
      <c r="A22" s="37"/>
      <c r="B22" s="11"/>
      <c r="C22" s="10"/>
      <c r="D22" s="197"/>
      <c r="E22" s="197"/>
    </row>
    <row r="23" spans="1:5" x14ac:dyDescent="0.25">
      <c r="A23" s="37"/>
      <c r="B23" s="11"/>
      <c r="C23" s="39" t="s">
        <v>299</v>
      </c>
      <c r="D23" s="194"/>
      <c r="E23" s="194"/>
    </row>
    <row r="24" spans="1:5" x14ac:dyDescent="0.25">
      <c r="A24" s="37">
        <v>9</v>
      </c>
      <c r="B24" s="11"/>
      <c r="C24" s="189" t="s">
        <v>300</v>
      </c>
      <c r="D24" s="194">
        <f>'Impegni competenza'!L20+'Impegni competenza'!Q20-'Impegni competenza'!R20-'Impegni competenza'!U20</f>
        <v>9933.2100000000009</v>
      </c>
      <c r="E24" s="194">
        <v>0</v>
      </c>
    </row>
    <row r="25" spans="1:5" x14ac:dyDescent="0.25">
      <c r="A25" s="37">
        <v>10</v>
      </c>
      <c r="B25" s="11"/>
      <c r="C25" s="10" t="s">
        <v>301</v>
      </c>
      <c r="D25" s="194">
        <f>'Impegni competenza'!L58+'Impegni competenza'!Q58-'Impegni competenza'!R58-'Impegni competenza'!U58</f>
        <v>205187.21999999997</v>
      </c>
      <c r="E25" s="194">
        <v>0</v>
      </c>
    </row>
    <row r="26" spans="1:5" x14ac:dyDescent="0.25">
      <c r="A26" s="37">
        <v>11</v>
      </c>
      <c r="B26" s="11"/>
      <c r="C26" s="10" t="s">
        <v>302</v>
      </c>
      <c r="D26" s="194">
        <f>'Impegni competenza'!L64+'Impegni competenza'!Q64-'Impegni competenza'!R64</f>
        <v>4422.43</v>
      </c>
      <c r="E26" s="194">
        <v>0</v>
      </c>
    </row>
    <row r="27" spans="1:5" x14ac:dyDescent="0.25">
      <c r="A27" s="37">
        <v>12</v>
      </c>
      <c r="B27" s="11"/>
      <c r="C27" s="10" t="s">
        <v>303</v>
      </c>
      <c r="D27" s="194">
        <f>+D28+D29+D30</f>
        <v>151622.76999999999</v>
      </c>
      <c r="E27" s="194">
        <f>+E28+E29+E30</f>
        <v>0</v>
      </c>
    </row>
    <row r="28" spans="1:5" x14ac:dyDescent="0.25">
      <c r="A28" s="37"/>
      <c r="B28" s="11" t="s">
        <v>30</v>
      </c>
      <c r="C28" s="26" t="s">
        <v>304</v>
      </c>
      <c r="D28" s="194">
        <f>'Impegni competenza'!L99+'Impegni competenza'!Q99-'Impegni competenza'!R99</f>
        <v>151622.76999999999</v>
      </c>
      <c r="E28" s="194">
        <v>0</v>
      </c>
    </row>
    <row r="29" spans="1:5" x14ac:dyDescent="0.25">
      <c r="A29" s="37"/>
      <c r="B29" s="11" t="s">
        <v>51</v>
      </c>
      <c r="C29" s="190" t="s">
        <v>305</v>
      </c>
      <c r="D29" s="194">
        <v>0</v>
      </c>
      <c r="E29" s="194">
        <v>0</v>
      </c>
    </row>
    <row r="30" spans="1:5" x14ac:dyDescent="0.25">
      <c r="A30" s="37"/>
      <c r="B30" s="11" t="s">
        <v>53</v>
      </c>
      <c r="C30" s="26" t="s">
        <v>306</v>
      </c>
      <c r="D30" s="194">
        <v>0</v>
      </c>
      <c r="E30" s="194">
        <v>0</v>
      </c>
    </row>
    <row r="31" spans="1:5" x14ac:dyDescent="0.25">
      <c r="A31" s="37">
        <v>13</v>
      </c>
      <c r="B31" s="11"/>
      <c r="C31" s="10" t="s">
        <v>307</v>
      </c>
      <c r="D31" s="194">
        <f>'Impegni competenza'!L115+'Impegni competenza'!R115-'Impegni competenza'!Q115</f>
        <v>124919.44</v>
      </c>
      <c r="E31" s="194">
        <v>0</v>
      </c>
    </row>
    <row r="32" spans="1:5" x14ac:dyDescent="0.25">
      <c r="A32" s="37">
        <v>14</v>
      </c>
      <c r="B32" s="11"/>
      <c r="C32" s="10" t="s">
        <v>308</v>
      </c>
      <c r="D32" s="194">
        <f>+D33+D34+D35+D36</f>
        <v>271993.45999999996</v>
      </c>
      <c r="E32" s="194">
        <f>+E33+E34+E35+E36</f>
        <v>0</v>
      </c>
    </row>
    <row r="33" spans="1:5" x14ac:dyDescent="0.25">
      <c r="A33" s="37" t="s">
        <v>27</v>
      </c>
      <c r="B33" s="11" t="s">
        <v>30</v>
      </c>
      <c r="C33" s="26" t="s">
        <v>309</v>
      </c>
      <c r="D33" s="194">
        <f>'Variazioni immobilizzazioni AC'!J43</f>
        <v>28260.39</v>
      </c>
      <c r="E33" s="194">
        <v>0</v>
      </c>
    </row>
    <row r="34" spans="1:5" x14ac:dyDescent="0.25">
      <c r="A34" s="37"/>
      <c r="B34" s="11" t="s">
        <v>51</v>
      </c>
      <c r="C34" s="26" t="s">
        <v>310</v>
      </c>
      <c r="D34" s="194">
        <f>'Variazioni immobilizzazioni AC'!S43-'Variazioni immobilizzazioni AC'!J43</f>
        <v>243733.06999999995</v>
      </c>
      <c r="E34" s="194">
        <v>0</v>
      </c>
    </row>
    <row r="35" spans="1:5" x14ac:dyDescent="0.25">
      <c r="A35" s="37"/>
      <c r="B35" s="11" t="s">
        <v>53</v>
      </c>
      <c r="C35" s="26" t="s">
        <v>311</v>
      </c>
      <c r="D35" s="194">
        <v>0</v>
      </c>
      <c r="E35" s="194">
        <v>0</v>
      </c>
    </row>
    <row r="36" spans="1:5" x14ac:dyDescent="0.25">
      <c r="A36" s="37"/>
      <c r="B36" s="11" t="s">
        <v>58</v>
      </c>
      <c r="C36" s="26" t="s">
        <v>312</v>
      </c>
      <c r="D36" s="194">
        <f>IF(Altre!D71&gt;0,Altre!D71,0)+Altre!D74</f>
        <v>0</v>
      </c>
      <c r="E36" s="194">
        <v>0</v>
      </c>
    </row>
    <row r="37" spans="1:5" x14ac:dyDescent="0.25">
      <c r="A37" s="37">
        <v>15</v>
      </c>
      <c r="B37" s="11"/>
      <c r="C37" s="189" t="s">
        <v>313</v>
      </c>
      <c r="D37" s="194">
        <f>-Altre!D121</f>
        <v>0</v>
      </c>
      <c r="E37" s="194">
        <v>0</v>
      </c>
    </row>
    <row r="38" spans="1:5" x14ac:dyDescent="0.25">
      <c r="A38" s="37">
        <v>16</v>
      </c>
      <c r="B38" s="11"/>
      <c r="C38" s="189" t="s">
        <v>314</v>
      </c>
      <c r="D38" s="194">
        <f>IF(Altre!D90&gt;0,Altre!D90,0)</f>
        <v>0</v>
      </c>
      <c r="E38" s="194">
        <v>0</v>
      </c>
    </row>
    <row r="39" spans="1:5" x14ac:dyDescent="0.25">
      <c r="A39" s="37">
        <v>17</v>
      </c>
      <c r="B39" s="11"/>
      <c r="C39" s="189" t="s">
        <v>315</v>
      </c>
      <c r="D39" s="194">
        <f>IF(Altre!D91&gt;0,Altre!D91,0)</f>
        <v>0</v>
      </c>
      <c r="E39" s="194">
        <v>0</v>
      </c>
    </row>
    <row r="40" spans="1:5" ht="15.75" thickBot="1" x14ac:dyDescent="0.3">
      <c r="A40" s="37">
        <v>18</v>
      </c>
      <c r="B40" s="11"/>
      <c r="C40" s="189" t="s">
        <v>316</v>
      </c>
      <c r="D40" s="195">
        <f>'Impegni competenza'!L124+'Impegni competenza'!Q124-'Impegni competenza'!R124-'Impegni competenza'!U124</f>
        <v>8515.92</v>
      </c>
      <c r="E40" s="195">
        <v>0</v>
      </c>
    </row>
    <row r="41" spans="1:5" ht="15.75" thickBot="1" x14ac:dyDescent="0.3">
      <c r="A41" s="37"/>
      <c r="B41" s="11"/>
      <c r="C41" s="17" t="s">
        <v>317</v>
      </c>
      <c r="D41" s="196">
        <f>+D24+D25+D26+D27+D31+D32+D37+D38+D39+D40</f>
        <v>776594.45</v>
      </c>
      <c r="E41" s="196">
        <f>+E24+E25+E26+E27+E31+E32+E37+E38+E39+E40</f>
        <v>0</v>
      </c>
    </row>
    <row r="42" spans="1:5" ht="15.75" thickBot="1" x14ac:dyDescent="0.3">
      <c r="A42" s="42"/>
      <c r="B42" s="44"/>
      <c r="C42" s="269" t="s">
        <v>318</v>
      </c>
      <c r="D42" s="196">
        <f>+D21-D41</f>
        <v>-108220.7699999999</v>
      </c>
      <c r="E42" s="196">
        <f>+E21-E41</f>
        <v>0</v>
      </c>
    </row>
    <row r="43" spans="1:5" x14ac:dyDescent="0.25">
      <c r="A43" s="37"/>
      <c r="B43" s="11"/>
      <c r="C43" s="191"/>
      <c r="D43" s="197"/>
      <c r="E43" s="197"/>
    </row>
    <row r="44" spans="1:5" x14ac:dyDescent="0.25">
      <c r="A44" s="37"/>
      <c r="B44" s="11"/>
      <c r="C44" s="39" t="s">
        <v>319</v>
      </c>
      <c r="D44" s="194"/>
      <c r="E44" s="194"/>
    </row>
    <row r="45" spans="1:5" x14ac:dyDescent="0.25">
      <c r="A45" s="37"/>
      <c r="B45" s="11"/>
      <c r="C45" s="15" t="s">
        <v>320</v>
      </c>
      <c r="D45" s="194"/>
      <c r="E45" s="194"/>
    </row>
    <row r="46" spans="1:5" x14ac:dyDescent="0.25">
      <c r="A46" s="37">
        <v>19</v>
      </c>
      <c r="B46" s="11"/>
      <c r="C46" s="10" t="s">
        <v>321</v>
      </c>
      <c r="D46" s="194">
        <f>+D47+D48+D49</f>
        <v>0</v>
      </c>
      <c r="E46" s="194">
        <f>+E47+E48+E49</f>
        <v>0</v>
      </c>
    </row>
    <row r="47" spans="1:5" x14ac:dyDescent="0.25">
      <c r="A47" s="37"/>
      <c r="B47" s="11" t="s">
        <v>30</v>
      </c>
      <c r="C47" s="26" t="s">
        <v>322</v>
      </c>
      <c r="D47" s="194">
        <f>'Accertamenti competenza'!L77</f>
        <v>0</v>
      </c>
      <c r="E47" s="194">
        <v>0</v>
      </c>
    </row>
    <row r="48" spans="1:5" x14ac:dyDescent="0.25">
      <c r="A48" s="37"/>
      <c r="B48" s="11" t="s">
        <v>51</v>
      </c>
      <c r="C48" s="26" t="s">
        <v>323</v>
      </c>
      <c r="D48" s="194">
        <f>'Accertamenti competenza'!L81</f>
        <v>0</v>
      </c>
      <c r="E48" s="194">
        <v>0</v>
      </c>
    </row>
    <row r="49" spans="1:5" x14ac:dyDescent="0.25">
      <c r="A49" s="37"/>
      <c r="B49" s="11" t="s">
        <v>53</v>
      </c>
      <c r="C49" s="26" t="s">
        <v>136</v>
      </c>
      <c r="D49" s="194">
        <f>'Accertamenti competenza'!L85</f>
        <v>0</v>
      </c>
      <c r="E49" s="194">
        <v>0</v>
      </c>
    </row>
    <row r="50" spans="1:5" x14ac:dyDescent="0.25">
      <c r="A50" s="37">
        <v>20</v>
      </c>
      <c r="B50" s="11"/>
      <c r="C50" s="10" t="s">
        <v>324</v>
      </c>
      <c r="D50" s="198">
        <f>'Accertamenti competenza'!L90</f>
        <v>0.11</v>
      </c>
      <c r="E50" s="198">
        <v>0</v>
      </c>
    </row>
    <row r="51" spans="1:5" x14ac:dyDescent="0.25">
      <c r="A51" s="37"/>
      <c r="B51" s="11"/>
      <c r="C51" s="17" t="s">
        <v>325</v>
      </c>
      <c r="D51" s="199">
        <f>+D46+D50</f>
        <v>0.11</v>
      </c>
      <c r="E51" s="199">
        <f>+E46+E50</f>
        <v>0</v>
      </c>
    </row>
    <row r="52" spans="1:5" x14ac:dyDescent="0.25">
      <c r="A52" s="37"/>
      <c r="B52" s="11"/>
      <c r="C52" s="15" t="s">
        <v>326</v>
      </c>
      <c r="D52" s="200"/>
      <c r="E52" s="200"/>
    </row>
    <row r="53" spans="1:5" x14ac:dyDescent="0.25">
      <c r="A53" s="37">
        <v>21</v>
      </c>
      <c r="B53" s="11"/>
      <c r="C53" s="10" t="s">
        <v>327</v>
      </c>
      <c r="D53" s="194">
        <f>+D54+D55</f>
        <v>21510</v>
      </c>
      <c r="E53" s="194">
        <f>+E54+E55</f>
        <v>0</v>
      </c>
    </row>
    <row r="54" spans="1:5" x14ac:dyDescent="0.25">
      <c r="A54" s="37"/>
      <c r="B54" s="11" t="s">
        <v>30</v>
      </c>
      <c r="C54" s="26" t="s">
        <v>328</v>
      </c>
      <c r="D54" s="194">
        <f>'Impegni competenza'!L129</f>
        <v>21510</v>
      </c>
      <c r="E54" s="194">
        <v>0</v>
      </c>
    </row>
    <row r="55" spans="1:5" x14ac:dyDescent="0.25">
      <c r="A55" s="37"/>
      <c r="B55" s="11" t="s">
        <v>51</v>
      </c>
      <c r="C55" s="26" t="s">
        <v>329</v>
      </c>
      <c r="D55" s="198">
        <v>0</v>
      </c>
      <c r="E55" s="194">
        <v>0</v>
      </c>
    </row>
    <row r="56" spans="1:5" x14ac:dyDescent="0.25">
      <c r="A56" s="37"/>
      <c r="B56" s="11"/>
      <c r="C56" s="17" t="s">
        <v>330</v>
      </c>
      <c r="D56" s="199">
        <f>+D53</f>
        <v>21510</v>
      </c>
      <c r="E56" s="199">
        <f>+E53</f>
        <v>0</v>
      </c>
    </row>
    <row r="57" spans="1:5" ht="15.75" thickBot="1" x14ac:dyDescent="0.3">
      <c r="A57" s="37"/>
      <c r="B57" s="11"/>
      <c r="C57" s="17"/>
      <c r="D57" s="279"/>
      <c r="E57" s="195"/>
    </row>
    <row r="58" spans="1:5" ht="15.75" thickBot="1" x14ac:dyDescent="0.3">
      <c r="A58" s="37"/>
      <c r="B58" s="11"/>
      <c r="C58" s="17" t="s">
        <v>331</v>
      </c>
      <c r="D58" s="196">
        <f>+D51-D56</f>
        <v>-21509.89</v>
      </c>
      <c r="E58" s="196">
        <f>+E51-E56</f>
        <v>0</v>
      </c>
    </row>
    <row r="59" spans="1:5" x14ac:dyDescent="0.25">
      <c r="A59" s="37"/>
      <c r="B59" s="11"/>
      <c r="C59" s="17"/>
      <c r="D59" s="197"/>
      <c r="E59" s="197"/>
    </row>
    <row r="60" spans="1:5" x14ac:dyDescent="0.25">
      <c r="A60" s="37"/>
      <c r="B60" s="11"/>
      <c r="C60" s="38" t="s">
        <v>332</v>
      </c>
      <c r="D60" s="56"/>
      <c r="E60" s="56"/>
    </row>
    <row r="61" spans="1:5" x14ac:dyDescent="0.25">
      <c r="A61" s="37">
        <v>22</v>
      </c>
      <c r="B61" s="11"/>
      <c r="C61" s="31" t="s">
        <v>333</v>
      </c>
      <c r="D61" s="194">
        <v>0</v>
      </c>
      <c r="E61" s="194">
        <v>0</v>
      </c>
    </row>
    <row r="62" spans="1:5" ht="15.75" thickBot="1" x14ac:dyDescent="0.3">
      <c r="A62" s="37">
        <v>23</v>
      </c>
      <c r="B62" s="11"/>
      <c r="C62" s="31" t="s">
        <v>334</v>
      </c>
      <c r="D62" s="195">
        <f>Altre!G110+Altre!G114+Altre!G118</f>
        <v>0</v>
      </c>
      <c r="E62" s="195">
        <v>0</v>
      </c>
    </row>
    <row r="63" spans="1:5" ht="15.75" thickBot="1" x14ac:dyDescent="0.3">
      <c r="A63" s="37"/>
      <c r="B63" s="11"/>
      <c r="C63" s="17" t="s">
        <v>335</v>
      </c>
      <c r="D63" s="196">
        <f>+D61-D62</f>
        <v>0</v>
      </c>
      <c r="E63" s="196">
        <f>+E61-E62</f>
        <v>0</v>
      </c>
    </row>
    <row r="64" spans="1:5" x14ac:dyDescent="0.25">
      <c r="A64" s="37"/>
      <c r="B64" s="11"/>
      <c r="C64" s="39" t="s">
        <v>336</v>
      </c>
      <c r="D64" s="197"/>
      <c r="E64" s="197"/>
    </row>
    <row r="65" spans="1:5" x14ac:dyDescent="0.25">
      <c r="A65" s="37">
        <v>24</v>
      </c>
      <c r="B65" s="11"/>
      <c r="C65" s="31" t="s">
        <v>337</v>
      </c>
      <c r="D65" s="194">
        <f>+D66+D67+D68+D69+D70</f>
        <v>38754.93</v>
      </c>
      <c r="E65" s="194">
        <f>+E66+E67+E68+E69+E70</f>
        <v>0</v>
      </c>
    </row>
    <row r="66" spans="1:5" x14ac:dyDescent="0.25">
      <c r="A66" s="37"/>
      <c r="B66" s="11" t="s">
        <v>30</v>
      </c>
      <c r="C66" s="26" t="s">
        <v>338</v>
      </c>
      <c r="D66" s="194">
        <f>Altre!C45</f>
        <v>0</v>
      </c>
      <c r="E66" s="194">
        <v>0</v>
      </c>
    </row>
    <row r="67" spans="1:5" x14ac:dyDescent="0.25">
      <c r="A67" s="37"/>
      <c r="B67" s="11" t="s">
        <v>51</v>
      </c>
      <c r="C67" s="192" t="s">
        <v>339</v>
      </c>
      <c r="D67" s="194">
        <f>'Accertamenti competenza'!L95</f>
        <v>6527.16</v>
      </c>
      <c r="E67" s="194">
        <v>0</v>
      </c>
    </row>
    <row r="68" spans="1:5" x14ac:dyDescent="0.25">
      <c r="A68" s="37" t="s">
        <v>27</v>
      </c>
      <c r="B68" s="11" t="s">
        <v>53</v>
      </c>
      <c r="C68" s="192" t="s">
        <v>340</v>
      </c>
      <c r="D68" s="194">
        <f>Altre!C139</f>
        <v>32227.77</v>
      </c>
      <c r="E68" s="194">
        <v>0</v>
      </c>
    </row>
    <row r="69" spans="1:5" x14ac:dyDescent="0.25">
      <c r="A69" s="37" t="s">
        <v>27</v>
      </c>
      <c r="B69" s="11" t="s">
        <v>58</v>
      </c>
      <c r="C69" s="26" t="s">
        <v>341</v>
      </c>
      <c r="D69" s="194">
        <f>Altre!E36</f>
        <v>0</v>
      </c>
      <c r="E69" s="194">
        <v>0</v>
      </c>
    </row>
    <row r="70" spans="1:5" x14ac:dyDescent="0.25">
      <c r="A70" s="37"/>
      <c r="B70" s="11" t="s">
        <v>104</v>
      </c>
      <c r="C70" s="26" t="s">
        <v>342</v>
      </c>
      <c r="D70" s="198">
        <f>'Accertamenti competenza'!L103</f>
        <v>0</v>
      </c>
      <c r="E70" s="194">
        <v>0</v>
      </c>
    </row>
    <row r="71" spans="1:5" x14ac:dyDescent="0.25">
      <c r="A71" s="37"/>
      <c r="B71" s="11"/>
      <c r="C71" s="17" t="s">
        <v>343</v>
      </c>
      <c r="D71" s="58">
        <f>+D65</f>
        <v>38754.93</v>
      </c>
      <c r="E71" s="58">
        <f>+E65</f>
        <v>0</v>
      </c>
    </row>
    <row r="72" spans="1:5" x14ac:dyDescent="0.25">
      <c r="A72" s="37">
        <v>25</v>
      </c>
      <c r="B72" s="11"/>
      <c r="C72" s="31" t="s">
        <v>344</v>
      </c>
      <c r="D72" s="200">
        <f>+D73+D74+D75+D76</f>
        <v>12819.75</v>
      </c>
      <c r="E72" s="194">
        <f>+E73+E74+E75+E76</f>
        <v>0</v>
      </c>
    </row>
    <row r="73" spans="1:5" x14ac:dyDescent="0.25">
      <c r="A73" s="37"/>
      <c r="B73" s="11" t="s">
        <v>30</v>
      </c>
      <c r="C73" s="192" t="s">
        <v>345</v>
      </c>
      <c r="D73" s="194">
        <v>0</v>
      </c>
      <c r="E73" s="194">
        <v>0</v>
      </c>
    </row>
    <row r="74" spans="1:5" x14ac:dyDescent="0.25">
      <c r="A74" s="37" t="s">
        <v>27</v>
      </c>
      <c r="B74" s="11" t="s">
        <v>51</v>
      </c>
      <c r="C74" s="192" t="s">
        <v>346</v>
      </c>
      <c r="D74" s="194">
        <f>Altre!C150</f>
        <v>12819.75</v>
      </c>
      <c r="E74" s="194">
        <v>0</v>
      </c>
    </row>
    <row r="75" spans="1:5" x14ac:dyDescent="0.25">
      <c r="A75" s="37" t="s">
        <v>27</v>
      </c>
      <c r="B75" s="11" t="s">
        <v>53</v>
      </c>
      <c r="C75" s="26" t="s">
        <v>347</v>
      </c>
      <c r="D75" s="194">
        <f>Altre!E37</f>
        <v>0</v>
      </c>
      <c r="E75" s="194">
        <v>0</v>
      </c>
    </row>
    <row r="76" spans="1:5" x14ac:dyDescent="0.25">
      <c r="A76" s="37" t="s">
        <v>27</v>
      </c>
      <c r="B76" s="11" t="s">
        <v>58</v>
      </c>
      <c r="C76" s="26" t="s">
        <v>348</v>
      </c>
      <c r="D76" s="198">
        <v>0</v>
      </c>
      <c r="E76" s="194">
        <v>0</v>
      </c>
    </row>
    <row r="77" spans="1:5" x14ac:dyDescent="0.25">
      <c r="A77" s="37"/>
      <c r="B77" s="11"/>
      <c r="C77" s="17" t="s">
        <v>349</v>
      </c>
      <c r="D77" s="58">
        <f>+D72</f>
        <v>12819.75</v>
      </c>
      <c r="E77" s="58">
        <f>+E72</f>
        <v>0</v>
      </c>
    </row>
    <row r="78" spans="1:5" ht="15.75" thickBot="1" x14ac:dyDescent="0.3">
      <c r="A78" s="37"/>
      <c r="B78" s="11"/>
      <c r="C78" s="17"/>
      <c r="D78" s="279"/>
      <c r="E78" s="195"/>
    </row>
    <row r="79" spans="1:5" ht="15.75" thickBot="1" x14ac:dyDescent="0.3">
      <c r="A79" s="37"/>
      <c r="B79" s="11"/>
      <c r="C79" s="17" t="s">
        <v>350</v>
      </c>
      <c r="D79" s="196">
        <f>+D71-D77</f>
        <v>25935.18</v>
      </c>
      <c r="E79" s="196">
        <f>+E71-E77</f>
        <v>0</v>
      </c>
    </row>
    <row r="80" spans="1:5" ht="15.75" thickBot="1" x14ac:dyDescent="0.3">
      <c r="A80" s="37"/>
      <c r="B80" s="11"/>
      <c r="C80" s="17" t="s">
        <v>351</v>
      </c>
      <c r="D80" s="201">
        <f>+D42+D58+D63+D79</f>
        <v>-103795.47999999989</v>
      </c>
      <c r="E80" s="201">
        <f>+E42+E58+E63+E79</f>
        <v>0</v>
      </c>
    </row>
    <row r="81" spans="1:5" x14ac:dyDescent="0.25">
      <c r="A81" s="37"/>
      <c r="B81" s="11"/>
      <c r="C81" s="17"/>
      <c r="D81" s="197"/>
      <c r="E81" s="197"/>
    </row>
    <row r="82" spans="1:5" ht="18.75" customHeight="1" thickBot="1" x14ac:dyDescent="0.3">
      <c r="A82" s="37">
        <v>26</v>
      </c>
      <c r="B82" s="11"/>
      <c r="C82" s="113" t="s">
        <v>352</v>
      </c>
      <c r="D82" s="195">
        <f>'Impegni competenza'!L142</f>
        <v>10397.189999999999</v>
      </c>
      <c r="E82" s="195">
        <v>0</v>
      </c>
    </row>
    <row r="83" spans="1:5" ht="15.75" thickBot="1" x14ac:dyDescent="0.3">
      <c r="A83" s="36">
        <v>27</v>
      </c>
      <c r="B83" s="8"/>
      <c r="C83" s="193" t="s">
        <v>353</v>
      </c>
      <c r="D83" s="268">
        <f>+D80-D82</f>
        <v>-114192.6699999999</v>
      </c>
      <c r="E83" s="268">
        <f>+E80-E82</f>
        <v>0</v>
      </c>
    </row>
    <row r="84" spans="1:5" ht="15.75" thickTop="1" x14ac:dyDescent="0.25">
      <c r="D84" s="202"/>
      <c r="E84" s="202"/>
    </row>
    <row r="85" spans="1:5" x14ac:dyDescent="0.25">
      <c r="D85" s="202"/>
      <c r="E85" s="202"/>
    </row>
    <row r="86" spans="1:5" x14ac:dyDescent="0.25">
      <c r="D86" s="202"/>
      <c r="E86" s="202"/>
    </row>
  </sheetData>
  <mergeCells count="4">
    <mergeCell ref="A1:E1"/>
    <mergeCell ref="C3:C4"/>
    <mergeCell ref="D3:D4"/>
    <mergeCell ref="E3:E4"/>
  </mergeCells>
  <printOptions horizontalCentered="1"/>
  <pageMargins left="0" right="0" top="0.47244094488188981" bottom="0" header="0.35433070866141736" footer="0.31496062992125984"/>
  <pageSetup paperSize="9" scale="95" fitToHeight="2" orientation="portrait" r:id="rId1"/>
  <rowBreaks count="1" manualBreakCount="1"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"/>
  <sheetViews>
    <sheetView workbookViewId="0">
      <selection activeCell="K3" sqref="K3"/>
    </sheetView>
  </sheetViews>
  <sheetFormatPr defaultRowHeight="15" x14ac:dyDescent="0.25"/>
  <cols>
    <col min="1" max="1" width="4.5703125" style="203" bestFit="1" customWidth="1"/>
    <col min="2" max="2" width="4.42578125" style="203" bestFit="1" customWidth="1"/>
    <col min="3" max="3" width="12.7109375" style="203" bestFit="1" customWidth="1"/>
    <col min="4" max="4" width="46" style="203" customWidth="1"/>
    <col min="5" max="5" width="5.28515625" style="203" bestFit="1" customWidth="1"/>
    <col min="6" max="6" width="12.5703125" style="203" bestFit="1" customWidth="1"/>
    <col min="7" max="7" width="6" style="203" bestFit="1" customWidth="1"/>
    <col min="8" max="8" width="13.28515625" style="203" bestFit="1" customWidth="1"/>
    <col min="9" max="9" width="7.5703125" style="203" bestFit="1" customWidth="1"/>
    <col min="10" max="10" width="7.5703125" style="204" bestFit="1" customWidth="1"/>
    <col min="11" max="11" width="18.140625" style="218" bestFit="1" customWidth="1"/>
    <col min="12" max="12" width="15.5703125" style="218" bestFit="1" customWidth="1"/>
    <col min="13" max="13" width="12.28515625" style="218" bestFit="1" customWidth="1"/>
    <col min="14" max="14" width="10.28515625" style="218" bestFit="1" customWidth="1"/>
    <col min="15" max="15" width="8.85546875" style="218" bestFit="1" customWidth="1"/>
    <col min="16" max="16" width="8.7109375" style="218" bestFit="1" customWidth="1"/>
    <col min="17" max="18" width="11.7109375" style="203" customWidth="1"/>
    <col min="19" max="19" width="17.5703125" style="203" bestFit="1" customWidth="1"/>
    <col min="20" max="16384" width="9.140625" style="203"/>
  </cols>
  <sheetData>
    <row r="1" spans="1:18" ht="30" x14ac:dyDescent="0.25">
      <c r="A1" t="s">
        <v>150</v>
      </c>
      <c r="B1" t="s">
        <v>151</v>
      </c>
      <c r="C1" s="111" t="s">
        <v>376</v>
      </c>
      <c r="D1" t="s">
        <v>383</v>
      </c>
      <c r="E1" s="111" t="s">
        <v>377</v>
      </c>
      <c r="F1" s="111" t="s">
        <v>379</v>
      </c>
      <c r="G1" s="111" t="s">
        <v>378</v>
      </c>
      <c r="H1" s="111" t="s">
        <v>380</v>
      </c>
      <c r="I1" s="111" t="s">
        <v>382</v>
      </c>
      <c r="J1" s="111" t="s">
        <v>381</v>
      </c>
      <c r="K1" s="64" t="s">
        <v>267</v>
      </c>
      <c r="L1" s="111" t="s">
        <v>220</v>
      </c>
      <c r="M1" s="111" t="s">
        <v>221</v>
      </c>
      <c r="N1" s="111" t="s">
        <v>222</v>
      </c>
      <c r="O1" s="111" t="s">
        <v>223</v>
      </c>
      <c r="P1" s="111" t="s">
        <v>268</v>
      </c>
    </row>
    <row r="2" spans="1:18" x14ac:dyDescent="0.25">
      <c r="K2" s="205"/>
      <c r="L2" s="205"/>
      <c r="M2" s="205"/>
      <c r="N2" s="205"/>
      <c r="O2" s="205"/>
      <c r="P2" s="205"/>
    </row>
    <row r="3" spans="1:18" x14ac:dyDescent="0.25">
      <c r="D3" s="206"/>
      <c r="E3" s="206"/>
      <c r="F3" s="206"/>
      <c r="G3" s="206"/>
      <c r="H3" s="206"/>
      <c r="K3" s="205"/>
      <c r="L3" s="205"/>
      <c r="M3" s="205"/>
      <c r="N3" s="205"/>
      <c r="O3" s="205"/>
      <c r="P3" s="205"/>
    </row>
    <row r="4" spans="1:18" x14ac:dyDescent="0.25">
      <c r="D4" s="206"/>
      <c r="E4" s="206"/>
      <c r="F4" s="206"/>
      <c r="G4" s="206"/>
      <c r="H4" s="206"/>
      <c r="K4" s="205"/>
      <c r="L4" s="205"/>
      <c r="M4" s="205"/>
      <c r="N4" s="205"/>
      <c r="O4" s="205"/>
      <c r="P4" s="205"/>
    </row>
    <row r="5" spans="1:18" s="504" customFormat="1" ht="14.25" x14ac:dyDescent="0.2">
      <c r="A5" s="500">
        <v>11</v>
      </c>
      <c r="B5" s="500">
        <v>0</v>
      </c>
      <c r="C5" s="500" t="s">
        <v>715</v>
      </c>
      <c r="D5" s="500" t="s">
        <v>716</v>
      </c>
      <c r="E5" s="500"/>
      <c r="F5" s="500"/>
      <c r="G5" s="500"/>
      <c r="H5" s="500"/>
      <c r="I5" s="501" t="s">
        <v>153</v>
      </c>
      <c r="J5" s="501" t="s">
        <v>552</v>
      </c>
      <c r="K5" s="502">
        <v>12018.6</v>
      </c>
      <c r="L5" s="502">
        <v>275000</v>
      </c>
      <c r="M5" s="502">
        <v>276180.15000000002</v>
      </c>
      <c r="N5" s="502">
        <v>0</v>
      </c>
      <c r="O5" s="502">
        <v>0</v>
      </c>
      <c r="P5" s="502">
        <f>K5+L5-M5+N5-O5</f>
        <v>10838.449999999953</v>
      </c>
      <c r="Q5" s="503"/>
    </row>
    <row r="6" spans="1:18" s="504" customFormat="1" ht="14.25" x14ac:dyDescent="0.2">
      <c r="A6" s="500">
        <v>13</v>
      </c>
      <c r="B6" s="500">
        <v>0</v>
      </c>
      <c r="C6" s="500" t="s">
        <v>717</v>
      </c>
      <c r="D6" s="500" t="s">
        <v>718</v>
      </c>
      <c r="E6" s="500"/>
      <c r="F6" s="500"/>
      <c r="G6" s="500"/>
      <c r="H6" s="500"/>
      <c r="I6" s="501" t="s">
        <v>153</v>
      </c>
      <c r="J6" s="501" t="s">
        <v>552</v>
      </c>
      <c r="K6" s="502">
        <v>28609.62</v>
      </c>
      <c r="L6" s="502">
        <v>26000</v>
      </c>
      <c r="M6" s="502">
        <v>49416.07</v>
      </c>
      <c r="N6" s="502">
        <v>513.41999999999996</v>
      </c>
      <c r="O6" s="502">
        <v>0</v>
      </c>
      <c r="P6" s="502">
        <f>K6+L6-M6+N6-O6</f>
        <v>5706.9699999999957</v>
      </c>
      <c r="Q6" s="503"/>
    </row>
    <row r="7" spans="1:18" s="504" customFormat="1" ht="14.25" x14ac:dyDescent="0.2">
      <c r="A7" s="500">
        <v>46</v>
      </c>
      <c r="B7" s="500">
        <v>0</v>
      </c>
      <c r="C7" s="500" t="s">
        <v>719</v>
      </c>
      <c r="D7" s="500" t="s">
        <v>720</v>
      </c>
      <c r="E7" s="500"/>
      <c r="F7" s="500"/>
      <c r="G7" s="500"/>
      <c r="H7" s="500"/>
      <c r="I7" s="501" t="s">
        <v>153</v>
      </c>
      <c r="J7" s="501" t="s">
        <v>552</v>
      </c>
      <c r="K7" s="502">
        <v>2373.81</v>
      </c>
      <c r="L7" s="502">
        <v>75000</v>
      </c>
      <c r="M7" s="502">
        <v>69137.64</v>
      </c>
      <c r="N7" s="502">
        <v>0.3</v>
      </c>
      <c r="O7" s="502">
        <v>0</v>
      </c>
      <c r="P7" s="502">
        <f>K7+L7-M7+N7-O7</f>
        <v>8236.4699999999975</v>
      </c>
      <c r="Q7" s="503"/>
    </row>
    <row r="8" spans="1:18" s="504" customFormat="1" ht="14.25" x14ac:dyDescent="0.2">
      <c r="A8" s="500">
        <v>70</v>
      </c>
      <c r="B8" s="500">
        <v>0</v>
      </c>
      <c r="C8" s="500" t="s">
        <v>721</v>
      </c>
      <c r="D8" s="500" t="s">
        <v>722</v>
      </c>
      <c r="E8" s="500"/>
      <c r="F8" s="500"/>
      <c r="G8" s="500"/>
      <c r="H8" s="500"/>
      <c r="I8" s="501" t="s">
        <v>153</v>
      </c>
      <c r="J8" s="501" t="s">
        <v>552</v>
      </c>
      <c r="K8" s="502">
        <v>11566.12</v>
      </c>
      <c r="L8" s="502">
        <v>78000</v>
      </c>
      <c r="M8" s="502">
        <v>76247.98</v>
      </c>
      <c r="N8" s="502">
        <v>0</v>
      </c>
      <c r="O8" s="502">
        <v>0</v>
      </c>
      <c r="P8" s="502">
        <f>K8+L8-M8+N8-O8</f>
        <v>13318.14</v>
      </c>
      <c r="Q8" s="503"/>
    </row>
    <row r="9" spans="1:18" s="504" customFormat="1" ht="14.25" x14ac:dyDescent="0.2">
      <c r="A9" s="500">
        <v>48</v>
      </c>
      <c r="B9" s="500">
        <v>0</v>
      </c>
      <c r="C9" s="500" t="s">
        <v>723</v>
      </c>
      <c r="D9" s="500" t="s">
        <v>724</v>
      </c>
      <c r="E9" s="500"/>
      <c r="F9" s="500"/>
      <c r="G9" s="500"/>
      <c r="H9" s="500"/>
      <c r="I9" s="501" t="s">
        <v>153</v>
      </c>
      <c r="J9" s="501" t="s">
        <v>552</v>
      </c>
      <c r="K9" s="502">
        <v>0</v>
      </c>
      <c r="L9" s="502">
        <v>538.51</v>
      </c>
      <c r="M9" s="502">
        <v>538.51</v>
      </c>
      <c r="N9" s="502">
        <v>0</v>
      </c>
      <c r="O9" s="502">
        <v>0</v>
      </c>
      <c r="P9" s="502">
        <f>K9+L9-M9+N9-O9</f>
        <v>0</v>
      </c>
      <c r="Q9" s="503"/>
    </row>
    <row r="10" spans="1:18" x14ac:dyDescent="0.25">
      <c r="J10" s="223"/>
      <c r="K10" s="205"/>
      <c r="L10" s="205"/>
      <c r="M10" s="205"/>
      <c r="N10" s="205"/>
      <c r="O10" s="205"/>
      <c r="P10" s="205"/>
    </row>
    <row r="11" spans="1:18" s="207" customFormat="1" x14ac:dyDescent="0.25">
      <c r="D11" s="208" t="s">
        <v>284</v>
      </c>
      <c r="E11" s="208"/>
      <c r="F11" s="208"/>
      <c r="G11" s="208"/>
      <c r="H11" s="208"/>
      <c r="J11" s="226" t="s">
        <v>552</v>
      </c>
      <c r="K11" s="209"/>
      <c r="L11" s="210">
        <f>SUM(L3:L10)</f>
        <v>454538.51</v>
      </c>
      <c r="M11" s="209"/>
      <c r="N11" s="209"/>
      <c r="O11" s="209"/>
      <c r="P11" s="209"/>
      <c r="Q11" s="211"/>
      <c r="R11" s="211"/>
    </row>
    <row r="12" spans="1:18" s="207" customFormat="1" x14ac:dyDescent="0.25">
      <c r="J12" s="224"/>
      <c r="K12" s="209"/>
      <c r="L12" s="209"/>
      <c r="M12" s="209"/>
      <c r="N12" s="209"/>
      <c r="O12" s="209"/>
      <c r="P12" s="209"/>
    </row>
    <row r="13" spans="1:18" s="212" customFormat="1" x14ac:dyDescent="0.25">
      <c r="J13" s="225"/>
      <c r="K13" s="213"/>
      <c r="L13" s="213"/>
      <c r="M13" s="213"/>
      <c r="N13" s="213"/>
      <c r="O13" s="213"/>
      <c r="P13" s="213"/>
    </row>
    <row r="14" spans="1:18" s="207" customFormat="1" x14ac:dyDescent="0.25">
      <c r="J14" s="224"/>
      <c r="K14" s="209"/>
      <c r="L14" s="209"/>
      <c r="M14" s="209"/>
      <c r="N14" s="209"/>
      <c r="O14" s="209"/>
      <c r="P14" s="209"/>
    </row>
    <row r="15" spans="1:18" s="207" customFormat="1" x14ac:dyDescent="0.25">
      <c r="D15" s="214" t="s">
        <v>371</v>
      </c>
      <c r="E15" s="214"/>
      <c r="F15" s="214"/>
      <c r="G15" s="214"/>
      <c r="H15" s="214"/>
      <c r="J15" s="226" t="s">
        <v>553</v>
      </c>
      <c r="K15" s="209"/>
      <c r="L15" s="210">
        <f>SUM(L12:L14)</f>
        <v>0</v>
      </c>
      <c r="M15" s="209"/>
      <c r="N15" s="209"/>
      <c r="O15" s="209"/>
      <c r="P15" s="209"/>
      <c r="Q15" s="211"/>
      <c r="R15" s="211"/>
    </row>
    <row r="16" spans="1:18" s="207" customFormat="1" x14ac:dyDescent="0.25">
      <c r="J16" s="224"/>
      <c r="K16" s="209"/>
      <c r="L16" s="209"/>
      <c r="M16" s="209"/>
      <c r="N16" s="209"/>
      <c r="O16" s="209"/>
      <c r="P16" s="209"/>
    </row>
    <row r="17" spans="1:19" s="207" customFormat="1" x14ac:dyDescent="0.25">
      <c r="J17" s="224"/>
      <c r="K17" s="209"/>
      <c r="L17" s="209"/>
      <c r="M17" s="209"/>
      <c r="N17" s="209"/>
      <c r="O17" s="209"/>
      <c r="P17" s="209"/>
    </row>
    <row r="18" spans="1:19" s="504" customFormat="1" ht="14.25" x14ac:dyDescent="0.2">
      <c r="A18" s="500">
        <v>82</v>
      </c>
      <c r="B18" s="500">
        <v>0</v>
      </c>
      <c r="C18" s="500" t="s">
        <v>725</v>
      </c>
      <c r="D18" s="500" t="s">
        <v>726</v>
      </c>
      <c r="E18" s="500"/>
      <c r="F18" s="500"/>
      <c r="G18" s="500"/>
      <c r="H18" s="500"/>
      <c r="I18" s="501" t="s">
        <v>155</v>
      </c>
      <c r="J18" s="501" t="s">
        <v>551</v>
      </c>
      <c r="K18" s="502">
        <v>0</v>
      </c>
      <c r="L18" s="502">
        <v>7668.12</v>
      </c>
      <c r="M18" s="502">
        <v>7668.12</v>
      </c>
      <c r="N18" s="502">
        <v>0</v>
      </c>
      <c r="O18" s="502">
        <v>0</v>
      </c>
      <c r="P18" s="502">
        <f t="shared" ref="P18:P23" si="0">K18+L18-M18+N18-O18</f>
        <v>0</v>
      </c>
      <c r="Q18" s="503"/>
    </row>
    <row r="19" spans="1:19" s="504" customFormat="1" ht="14.25" x14ac:dyDescent="0.2">
      <c r="A19" s="500">
        <v>90</v>
      </c>
      <c r="B19" s="500">
        <v>0</v>
      </c>
      <c r="C19" s="500" t="s">
        <v>727</v>
      </c>
      <c r="D19" s="500" t="s">
        <v>728</v>
      </c>
      <c r="E19" s="500"/>
      <c r="F19" s="500"/>
      <c r="G19" s="500"/>
      <c r="H19" s="500"/>
      <c r="I19" s="501" t="s">
        <v>155</v>
      </c>
      <c r="J19" s="501" t="s">
        <v>551</v>
      </c>
      <c r="K19" s="502">
        <v>0</v>
      </c>
      <c r="L19" s="502">
        <v>29803.32</v>
      </c>
      <c r="M19" s="502">
        <v>29803.32</v>
      </c>
      <c r="N19" s="502">
        <v>0</v>
      </c>
      <c r="O19" s="502">
        <v>0</v>
      </c>
      <c r="P19" s="502">
        <f t="shared" si="0"/>
        <v>0</v>
      </c>
      <c r="Q19" s="503"/>
    </row>
    <row r="20" spans="1:19" s="504" customFormat="1" ht="14.25" x14ac:dyDescent="0.2">
      <c r="A20" s="500">
        <v>113</v>
      </c>
      <c r="B20" s="500">
        <v>0</v>
      </c>
      <c r="C20" s="500" t="s">
        <v>727</v>
      </c>
      <c r="D20" s="500" t="s">
        <v>729</v>
      </c>
      <c r="E20" s="500"/>
      <c r="F20" s="500"/>
      <c r="G20" s="500"/>
      <c r="H20" s="500"/>
      <c r="I20" s="501" t="s">
        <v>155</v>
      </c>
      <c r="J20" s="501" t="s">
        <v>551</v>
      </c>
      <c r="K20" s="502">
        <v>15000</v>
      </c>
      <c r="L20" s="502">
        <v>52729</v>
      </c>
      <c r="M20" s="502">
        <v>67729</v>
      </c>
      <c r="N20" s="502">
        <v>0</v>
      </c>
      <c r="O20" s="502">
        <v>0</v>
      </c>
      <c r="P20" s="502">
        <f t="shared" si="0"/>
        <v>0</v>
      </c>
      <c r="Q20" s="503"/>
    </row>
    <row r="21" spans="1:19" s="504" customFormat="1" ht="14.25" x14ac:dyDescent="0.2">
      <c r="A21" s="500">
        <v>112</v>
      </c>
      <c r="B21" s="500">
        <v>0</v>
      </c>
      <c r="C21" s="500" t="s">
        <v>730</v>
      </c>
      <c r="D21" s="500" t="s">
        <v>731</v>
      </c>
      <c r="E21" s="500"/>
      <c r="F21" s="500"/>
      <c r="G21" s="500"/>
      <c r="H21" s="500"/>
      <c r="I21" s="501" t="s">
        <v>155</v>
      </c>
      <c r="J21" s="501" t="s">
        <v>551</v>
      </c>
      <c r="K21" s="502">
        <v>9100</v>
      </c>
      <c r="L21" s="502">
        <v>0</v>
      </c>
      <c r="M21" s="502">
        <v>9100</v>
      </c>
      <c r="N21" s="502">
        <v>0</v>
      </c>
      <c r="O21" s="502">
        <v>0</v>
      </c>
      <c r="P21" s="502">
        <f t="shared" si="0"/>
        <v>0</v>
      </c>
      <c r="Q21" s="503"/>
    </row>
    <row r="22" spans="1:19" s="504" customFormat="1" ht="14.25" x14ac:dyDescent="0.2">
      <c r="A22" s="500">
        <v>155</v>
      </c>
      <c r="B22" s="500">
        <v>0</v>
      </c>
      <c r="C22" s="500" t="s">
        <v>732</v>
      </c>
      <c r="D22" s="500" t="s">
        <v>733</v>
      </c>
      <c r="E22" s="500"/>
      <c r="F22" s="500"/>
      <c r="G22" s="500"/>
      <c r="H22" s="500"/>
      <c r="I22" s="501" t="s">
        <v>155</v>
      </c>
      <c r="J22" s="501" t="s">
        <v>551</v>
      </c>
      <c r="K22" s="502">
        <v>0</v>
      </c>
      <c r="L22" s="502">
        <v>2527</v>
      </c>
      <c r="M22" s="502">
        <v>0</v>
      </c>
      <c r="N22" s="502">
        <v>0</v>
      </c>
      <c r="O22" s="502">
        <v>0</v>
      </c>
      <c r="P22" s="502">
        <f t="shared" si="0"/>
        <v>2527</v>
      </c>
      <c r="Q22" s="503"/>
    </row>
    <row r="23" spans="1:19" s="504" customFormat="1" ht="14.25" x14ac:dyDescent="0.2">
      <c r="A23" s="500">
        <v>122</v>
      </c>
      <c r="B23" s="500">
        <v>0</v>
      </c>
      <c r="C23" s="500" t="s">
        <v>734</v>
      </c>
      <c r="D23" s="500" t="s">
        <v>735</v>
      </c>
      <c r="E23" s="500"/>
      <c r="F23" s="500"/>
      <c r="G23" s="500"/>
      <c r="H23" s="500"/>
      <c r="I23" s="501" t="s">
        <v>162</v>
      </c>
      <c r="J23" s="501" t="s">
        <v>551</v>
      </c>
      <c r="K23" s="502">
        <v>5000</v>
      </c>
      <c r="L23" s="502">
        <v>0</v>
      </c>
      <c r="M23" s="502">
        <v>0</v>
      </c>
      <c r="N23" s="502">
        <v>0</v>
      </c>
      <c r="O23" s="502">
        <v>0</v>
      </c>
      <c r="P23" s="502">
        <f t="shared" si="0"/>
        <v>5000</v>
      </c>
      <c r="Q23" s="503"/>
    </row>
    <row r="24" spans="1:19" s="207" customFormat="1" x14ac:dyDescent="0.25">
      <c r="J24" s="224"/>
      <c r="K24" s="209"/>
      <c r="L24" s="209"/>
      <c r="M24" s="209"/>
      <c r="N24" s="209"/>
      <c r="O24" s="209"/>
      <c r="P24" s="209"/>
      <c r="Q24" s="207" t="s">
        <v>265</v>
      </c>
      <c r="R24" s="207" t="s">
        <v>266</v>
      </c>
    </row>
    <row r="25" spans="1:19" s="207" customFormat="1" x14ac:dyDescent="0.25">
      <c r="D25" s="214" t="s">
        <v>287</v>
      </c>
      <c r="E25" s="214"/>
      <c r="F25" s="214"/>
      <c r="G25" s="214"/>
      <c r="H25" s="214"/>
      <c r="J25" s="226" t="s">
        <v>551</v>
      </c>
      <c r="K25" s="209"/>
      <c r="L25" s="210">
        <f>SUM(L16:L24)</f>
        <v>92727.44</v>
      </c>
      <c r="M25" s="209"/>
      <c r="N25" s="209"/>
      <c r="O25" s="209"/>
      <c r="P25" s="209"/>
      <c r="Q25" s="228">
        <f>'Ratei e risconti'!D45</f>
        <v>0</v>
      </c>
      <c r="R25" s="228">
        <f>'Ratei e risconti'!F45</f>
        <v>0</v>
      </c>
      <c r="S25" s="207" t="s">
        <v>464</v>
      </c>
    </row>
    <row r="26" spans="1:19" s="207" customFormat="1" x14ac:dyDescent="0.25">
      <c r="J26" s="224"/>
      <c r="K26" s="209"/>
      <c r="L26" s="209"/>
      <c r="M26" s="209"/>
      <c r="N26" s="209"/>
      <c r="O26" s="209"/>
      <c r="P26" s="209"/>
    </row>
    <row r="27" spans="1:19" s="207" customFormat="1" x14ac:dyDescent="0.25">
      <c r="J27" s="224"/>
      <c r="K27" s="209"/>
      <c r="L27" s="209"/>
      <c r="M27" s="209"/>
      <c r="N27" s="209"/>
      <c r="O27" s="209"/>
      <c r="P27" s="209"/>
    </row>
    <row r="28" spans="1:19" s="504" customFormat="1" ht="14.25" x14ac:dyDescent="0.2">
      <c r="A28" s="500">
        <v>344</v>
      </c>
      <c r="B28" s="500">
        <v>0</v>
      </c>
      <c r="C28" s="500" t="s">
        <v>760</v>
      </c>
      <c r="D28" s="500" t="s">
        <v>761</v>
      </c>
      <c r="E28" s="500"/>
      <c r="F28" s="500"/>
      <c r="G28" s="500"/>
      <c r="H28" s="500"/>
      <c r="I28" s="501" t="s">
        <v>155</v>
      </c>
      <c r="J28" s="506" t="s">
        <v>554</v>
      </c>
      <c r="K28" s="502">
        <v>7030</v>
      </c>
      <c r="L28" s="502">
        <v>0</v>
      </c>
      <c r="M28" s="502">
        <v>0</v>
      </c>
      <c r="N28" s="502">
        <v>0</v>
      </c>
      <c r="O28" s="502">
        <v>0</v>
      </c>
      <c r="P28" s="502">
        <f t="shared" ref="P28:P41" si="1">K28+L28-M28+N28-O28</f>
        <v>7030</v>
      </c>
      <c r="Q28" s="503"/>
    </row>
    <row r="29" spans="1:19" s="504" customFormat="1" ht="14.25" x14ac:dyDescent="0.2">
      <c r="A29" s="500">
        <v>378</v>
      </c>
      <c r="B29" s="500">
        <v>0</v>
      </c>
      <c r="C29" s="500" t="s">
        <v>760</v>
      </c>
      <c r="D29" s="500" t="s">
        <v>762</v>
      </c>
      <c r="E29" s="500"/>
      <c r="F29" s="500"/>
      <c r="G29" s="500"/>
      <c r="H29" s="500"/>
      <c r="I29" s="501" t="s">
        <v>155</v>
      </c>
      <c r="J29" s="506" t="s">
        <v>554</v>
      </c>
      <c r="K29" s="502">
        <v>1000</v>
      </c>
      <c r="L29" s="502">
        <v>0</v>
      </c>
      <c r="M29" s="502">
        <v>0</v>
      </c>
      <c r="N29" s="502">
        <v>0</v>
      </c>
      <c r="O29" s="502">
        <v>0</v>
      </c>
      <c r="P29" s="502">
        <f t="shared" si="1"/>
        <v>1000</v>
      </c>
      <c r="Q29" s="503"/>
    </row>
    <row r="30" spans="1:19" s="504" customFormat="1" ht="14.25" x14ac:dyDescent="0.2">
      <c r="A30" s="500">
        <v>397</v>
      </c>
      <c r="B30" s="500">
        <v>0</v>
      </c>
      <c r="C30" s="500" t="s">
        <v>760</v>
      </c>
      <c r="D30" s="500" t="s">
        <v>763</v>
      </c>
      <c r="E30" s="500"/>
      <c r="F30" s="500"/>
      <c r="G30" s="500"/>
      <c r="H30" s="500"/>
      <c r="I30" s="501" t="s">
        <v>155</v>
      </c>
      <c r="J30" s="506" t="s">
        <v>554</v>
      </c>
      <c r="K30" s="502">
        <v>194432.62</v>
      </c>
      <c r="L30" s="502">
        <v>0</v>
      </c>
      <c r="M30" s="502">
        <v>77759.14</v>
      </c>
      <c r="N30" s="502">
        <v>0</v>
      </c>
      <c r="O30" s="502">
        <v>0</v>
      </c>
      <c r="P30" s="502">
        <f t="shared" si="1"/>
        <v>116673.48</v>
      </c>
      <c r="Q30" s="503"/>
    </row>
    <row r="31" spans="1:19" s="504" customFormat="1" ht="14.25" x14ac:dyDescent="0.2">
      <c r="A31" s="500">
        <v>452</v>
      </c>
      <c r="B31" s="500">
        <v>0</v>
      </c>
      <c r="C31" s="500" t="s">
        <v>760</v>
      </c>
      <c r="D31" s="500" t="s">
        <v>764</v>
      </c>
      <c r="E31" s="500"/>
      <c r="F31" s="500"/>
      <c r="G31" s="500"/>
      <c r="H31" s="500"/>
      <c r="I31" s="501" t="s">
        <v>155</v>
      </c>
      <c r="J31" s="506" t="s">
        <v>554</v>
      </c>
      <c r="K31" s="502">
        <v>0</v>
      </c>
      <c r="L31" s="502">
        <v>33000</v>
      </c>
      <c r="M31" s="502">
        <v>8434</v>
      </c>
      <c r="N31" s="502">
        <v>0</v>
      </c>
      <c r="O31" s="502">
        <v>0</v>
      </c>
      <c r="P31" s="502">
        <f t="shared" si="1"/>
        <v>24566</v>
      </c>
      <c r="Q31" s="503"/>
    </row>
    <row r="32" spans="1:19" s="504" customFormat="1" ht="14.25" x14ac:dyDescent="0.2">
      <c r="A32" s="500">
        <v>453</v>
      </c>
      <c r="B32" s="500">
        <v>0</v>
      </c>
      <c r="C32" s="500" t="s">
        <v>760</v>
      </c>
      <c r="D32" s="500" t="s">
        <v>765</v>
      </c>
      <c r="E32" s="500"/>
      <c r="F32" s="500"/>
      <c r="G32" s="500"/>
      <c r="H32" s="500"/>
      <c r="I32" s="501" t="s">
        <v>155</v>
      </c>
      <c r="J32" s="506" t="s">
        <v>554</v>
      </c>
      <c r="K32" s="502">
        <v>2806</v>
      </c>
      <c r="L32" s="502">
        <v>0</v>
      </c>
      <c r="M32" s="502">
        <v>0</v>
      </c>
      <c r="N32" s="502">
        <v>0</v>
      </c>
      <c r="O32" s="502">
        <v>0</v>
      </c>
      <c r="P32" s="502">
        <f t="shared" si="1"/>
        <v>2806</v>
      </c>
      <c r="Q32" s="503"/>
    </row>
    <row r="33" spans="1:19" s="504" customFormat="1" ht="14.25" x14ac:dyDescent="0.2">
      <c r="A33" s="500">
        <v>1128</v>
      </c>
      <c r="B33" s="500">
        <v>0</v>
      </c>
      <c r="C33" s="500" t="s">
        <v>760</v>
      </c>
      <c r="D33" s="500" t="s">
        <v>766</v>
      </c>
      <c r="E33" s="500"/>
      <c r="F33" s="500"/>
      <c r="G33" s="500"/>
      <c r="H33" s="500"/>
      <c r="I33" s="501" t="s">
        <v>155</v>
      </c>
      <c r="J33" s="506" t="s">
        <v>554</v>
      </c>
      <c r="K33" s="502">
        <v>71190.8</v>
      </c>
      <c r="L33" s="502">
        <v>0</v>
      </c>
      <c r="M33" s="502">
        <v>41252.85</v>
      </c>
      <c r="N33" s="502">
        <v>0</v>
      </c>
      <c r="O33" s="502">
        <v>0</v>
      </c>
      <c r="P33" s="502">
        <f t="shared" si="1"/>
        <v>29937.950000000004</v>
      </c>
      <c r="Q33" s="503"/>
    </row>
    <row r="34" spans="1:19" s="504" customFormat="1" ht="14.25" x14ac:dyDescent="0.2">
      <c r="A34" s="500">
        <v>1131</v>
      </c>
      <c r="B34" s="500">
        <v>0</v>
      </c>
      <c r="C34" s="500" t="s">
        <v>760</v>
      </c>
      <c r="D34" s="500" t="s">
        <v>767</v>
      </c>
      <c r="E34" s="500"/>
      <c r="F34" s="500"/>
      <c r="G34" s="500"/>
      <c r="H34" s="500"/>
      <c r="I34" s="501" t="s">
        <v>155</v>
      </c>
      <c r="J34" s="506" t="s">
        <v>554</v>
      </c>
      <c r="K34" s="502">
        <v>100650</v>
      </c>
      <c r="L34" s="502">
        <v>0</v>
      </c>
      <c r="M34" s="502">
        <v>50000</v>
      </c>
      <c r="N34" s="502">
        <v>0</v>
      </c>
      <c r="O34" s="502">
        <v>0</v>
      </c>
      <c r="P34" s="502">
        <f t="shared" si="1"/>
        <v>50650</v>
      </c>
      <c r="Q34" s="503"/>
    </row>
    <row r="35" spans="1:19" s="504" customFormat="1" ht="14.25" x14ac:dyDescent="0.2">
      <c r="A35" s="500">
        <v>399</v>
      </c>
      <c r="B35" s="500">
        <v>0</v>
      </c>
      <c r="C35" s="500" t="s">
        <v>768</v>
      </c>
      <c r="D35" s="500" t="s">
        <v>769</v>
      </c>
      <c r="E35" s="500"/>
      <c r="F35" s="500"/>
      <c r="G35" s="500"/>
      <c r="H35" s="500"/>
      <c r="I35" s="501" t="s">
        <v>155</v>
      </c>
      <c r="J35" s="506" t="s">
        <v>554</v>
      </c>
      <c r="K35" s="502">
        <v>7980</v>
      </c>
      <c r="L35" s="502">
        <v>0</v>
      </c>
      <c r="M35" s="502">
        <v>7340</v>
      </c>
      <c r="N35" s="502">
        <v>0</v>
      </c>
      <c r="O35" s="502">
        <v>640</v>
      </c>
      <c r="P35" s="502">
        <f t="shared" si="1"/>
        <v>0</v>
      </c>
      <c r="Q35" s="503"/>
    </row>
    <row r="36" spans="1:19" s="504" customFormat="1" ht="14.25" x14ac:dyDescent="0.2">
      <c r="A36" s="500">
        <v>403</v>
      </c>
      <c r="B36" s="500">
        <v>0</v>
      </c>
      <c r="C36" s="500" t="s">
        <v>768</v>
      </c>
      <c r="D36" s="500" t="s">
        <v>770</v>
      </c>
      <c r="E36" s="500"/>
      <c r="F36" s="500"/>
      <c r="G36" s="500"/>
      <c r="H36" s="500"/>
      <c r="I36" s="501" t="s">
        <v>155</v>
      </c>
      <c r="J36" s="506" t="s">
        <v>554</v>
      </c>
      <c r="K36" s="502">
        <v>21960</v>
      </c>
      <c r="L36" s="502">
        <v>0</v>
      </c>
      <c r="M36" s="502">
        <v>0</v>
      </c>
      <c r="N36" s="502">
        <v>0</v>
      </c>
      <c r="O36" s="502">
        <v>0</v>
      </c>
      <c r="P36" s="502">
        <f t="shared" si="1"/>
        <v>21960</v>
      </c>
      <c r="Q36" s="503"/>
    </row>
    <row r="37" spans="1:19" s="504" customFormat="1" ht="14.25" x14ac:dyDescent="0.2">
      <c r="A37" s="500">
        <v>444</v>
      </c>
      <c r="B37" s="500">
        <v>0</v>
      </c>
      <c r="C37" s="500" t="s">
        <v>768</v>
      </c>
      <c r="D37" s="500" t="s">
        <v>771</v>
      </c>
      <c r="E37" s="500"/>
      <c r="F37" s="500"/>
      <c r="G37" s="500"/>
      <c r="H37" s="500"/>
      <c r="I37" s="501" t="s">
        <v>155</v>
      </c>
      <c r="J37" s="506" t="s">
        <v>554</v>
      </c>
      <c r="K37" s="502">
        <v>175000</v>
      </c>
      <c r="L37" s="502">
        <v>0</v>
      </c>
      <c r="M37" s="502">
        <v>75000</v>
      </c>
      <c r="N37" s="502">
        <v>0</v>
      </c>
      <c r="O37" s="502">
        <v>0</v>
      </c>
      <c r="P37" s="502">
        <f t="shared" si="1"/>
        <v>100000</v>
      </c>
      <c r="Q37" s="503"/>
    </row>
    <row r="38" spans="1:19" s="504" customFormat="1" ht="14.25" x14ac:dyDescent="0.2">
      <c r="A38" s="500">
        <v>451</v>
      </c>
      <c r="B38" s="500">
        <v>0</v>
      </c>
      <c r="C38" s="500" t="s">
        <v>768</v>
      </c>
      <c r="D38" s="500" t="s">
        <v>772</v>
      </c>
      <c r="E38" s="500"/>
      <c r="F38" s="500"/>
      <c r="G38" s="500"/>
      <c r="H38" s="500"/>
      <c r="I38" s="501" t="s">
        <v>155</v>
      </c>
      <c r="J38" s="506" t="s">
        <v>554</v>
      </c>
      <c r="K38" s="502">
        <v>14288.11</v>
      </c>
      <c r="L38" s="502">
        <v>0</v>
      </c>
      <c r="M38" s="502">
        <v>12564.49</v>
      </c>
      <c r="N38" s="502">
        <v>0</v>
      </c>
      <c r="O38" s="502">
        <v>1723.62</v>
      </c>
      <c r="P38" s="502">
        <f t="shared" si="1"/>
        <v>0</v>
      </c>
      <c r="Q38" s="503"/>
    </row>
    <row r="39" spans="1:19" s="504" customFormat="1" ht="14.25" x14ac:dyDescent="0.2">
      <c r="A39" s="500">
        <v>443</v>
      </c>
      <c r="B39" s="500">
        <v>0</v>
      </c>
      <c r="C39" s="500" t="s">
        <v>773</v>
      </c>
      <c r="D39" s="500" t="s">
        <v>774</v>
      </c>
      <c r="E39" s="500"/>
      <c r="F39" s="500"/>
      <c r="G39" s="500"/>
      <c r="H39" s="500"/>
      <c r="I39" s="501" t="s">
        <v>155</v>
      </c>
      <c r="J39" s="506" t="s">
        <v>554</v>
      </c>
      <c r="K39" s="502">
        <v>20000</v>
      </c>
      <c r="L39" s="502">
        <v>0</v>
      </c>
      <c r="M39" s="502">
        <v>20000</v>
      </c>
      <c r="N39" s="502">
        <v>0</v>
      </c>
      <c r="O39" s="502">
        <v>0</v>
      </c>
      <c r="P39" s="502">
        <f t="shared" si="1"/>
        <v>0</v>
      </c>
      <c r="Q39" s="503"/>
    </row>
    <row r="40" spans="1:19" s="504" customFormat="1" ht="14.25" x14ac:dyDescent="0.2">
      <c r="A40" s="500">
        <v>402</v>
      </c>
      <c r="B40" s="500">
        <v>0</v>
      </c>
      <c r="C40" s="500" t="s">
        <v>775</v>
      </c>
      <c r="D40" s="500" t="s">
        <v>776</v>
      </c>
      <c r="E40" s="500"/>
      <c r="F40" s="500"/>
      <c r="G40" s="500"/>
      <c r="H40" s="500"/>
      <c r="I40" s="501" t="s">
        <v>155</v>
      </c>
      <c r="J40" s="506" t="s">
        <v>554</v>
      </c>
      <c r="K40" s="502">
        <v>0</v>
      </c>
      <c r="L40" s="502">
        <v>190000</v>
      </c>
      <c r="M40" s="502">
        <v>140000</v>
      </c>
      <c r="N40" s="502">
        <v>0</v>
      </c>
      <c r="O40" s="502">
        <v>0</v>
      </c>
      <c r="P40" s="502">
        <f t="shared" si="1"/>
        <v>50000</v>
      </c>
      <c r="Q40" s="503"/>
    </row>
    <row r="41" spans="1:19" s="504" customFormat="1" ht="14.25" x14ac:dyDescent="0.2">
      <c r="A41" s="500">
        <v>431</v>
      </c>
      <c r="B41" s="500">
        <v>0</v>
      </c>
      <c r="C41" s="500" t="s">
        <v>775</v>
      </c>
      <c r="D41" s="500" t="s">
        <v>777</v>
      </c>
      <c r="E41" s="500"/>
      <c r="F41" s="500"/>
      <c r="G41" s="500"/>
      <c r="H41" s="500"/>
      <c r="I41" s="501" t="s">
        <v>155</v>
      </c>
      <c r="J41" s="506" t="s">
        <v>554</v>
      </c>
      <c r="K41" s="502">
        <v>21522</v>
      </c>
      <c r="L41" s="502">
        <v>15000</v>
      </c>
      <c r="M41" s="502">
        <v>21521.95</v>
      </c>
      <c r="N41" s="502">
        <v>0</v>
      </c>
      <c r="O41" s="502">
        <v>0.05</v>
      </c>
      <c r="P41" s="502">
        <f t="shared" si="1"/>
        <v>15000</v>
      </c>
      <c r="Q41" s="503"/>
    </row>
    <row r="42" spans="1:19" s="207" customFormat="1" x14ac:dyDescent="0.25">
      <c r="J42" s="224"/>
      <c r="K42" s="209"/>
      <c r="L42" s="209"/>
      <c r="M42" s="209"/>
      <c r="N42" s="209"/>
      <c r="O42" s="209"/>
      <c r="P42" s="209"/>
      <c r="R42" s="207" t="s">
        <v>266</v>
      </c>
    </row>
    <row r="43" spans="1:19" s="207" customFormat="1" x14ac:dyDescent="0.25">
      <c r="D43" s="214" t="s">
        <v>289</v>
      </c>
      <c r="E43" s="214"/>
      <c r="F43" s="214"/>
      <c r="G43" s="214"/>
      <c r="H43" s="214"/>
      <c r="J43" s="226" t="s">
        <v>554</v>
      </c>
      <c r="K43" s="209"/>
      <c r="L43" s="210">
        <f>SUM(L26:L42)</f>
        <v>238000</v>
      </c>
      <c r="M43" s="209"/>
      <c r="N43" s="209"/>
      <c r="O43" s="209"/>
      <c r="P43" s="209"/>
      <c r="R43" s="228">
        <f>Altre!E40+Altre!E41</f>
        <v>238000</v>
      </c>
      <c r="S43" s="207" t="s">
        <v>212</v>
      </c>
    </row>
    <row r="44" spans="1:19" s="207" customFormat="1" x14ac:dyDescent="0.25">
      <c r="J44" s="224"/>
      <c r="K44" s="209"/>
      <c r="L44" s="209"/>
      <c r="M44" s="209"/>
      <c r="N44" s="209"/>
      <c r="O44" s="209"/>
      <c r="P44" s="209"/>
    </row>
    <row r="45" spans="1:19" s="212" customFormat="1" x14ac:dyDescent="0.25">
      <c r="J45" s="225"/>
      <c r="K45" s="213"/>
      <c r="L45" s="213"/>
      <c r="M45" s="213"/>
      <c r="N45" s="213"/>
      <c r="O45" s="213"/>
      <c r="P45" s="213"/>
    </row>
    <row r="46" spans="1:19" s="504" customFormat="1" ht="14.25" x14ac:dyDescent="0.2">
      <c r="A46" s="500">
        <v>35</v>
      </c>
      <c r="B46" s="500">
        <v>0</v>
      </c>
      <c r="C46" s="500" t="s">
        <v>748</v>
      </c>
      <c r="D46" s="500" t="s">
        <v>749</v>
      </c>
      <c r="E46" s="500"/>
      <c r="F46" s="500"/>
      <c r="G46" s="500"/>
      <c r="H46" s="500"/>
      <c r="I46" s="501" t="s">
        <v>163</v>
      </c>
      <c r="J46" s="506" t="s">
        <v>547</v>
      </c>
      <c r="K46" s="502">
        <v>0</v>
      </c>
      <c r="L46" s="502">
        <v>5345.04</v>
      </c>
      <c r="M46" s="502">
        <v>5345.04</v>
      </c>
      <c r="N46" s="502">
        <v>0</v>
      </c>
      <c r="O46" s="502">
        <v>0</v>
      </c>
      <c r="P46" s="502">
        <f>K46+L46-M46+N46-O46</f>
        <v>0</v>
      </c>
      <c r="Q46" s="503"/>
    </row>
    <row r="47" spans="1:19" s="504" customFormat="1" ht="14.25" x14ac:dyDescent="0.2">
      <c r="A47" s="500">
        <v>290</v>
      </c>
      <c r="B47" s="500">
        <v>0</v>
      </c>
      <c r="C47" s="500" t="s">
        <v>750</v>
      </c>
      <c r="D47" s="500" t="s">
        <v>751</v>
      </c>
      <c r="E47" s="500"/>
      <c r="F47" s="500"/>
      <c r="G47" s="500"/>
      <c r="H47" s="500"/>
      <c r="I47" s="501" t="s">
        <v>163</v>
      </c>
      <c r="J47" s="506" t="s">
        <v>547</v>
      </c>
      <c r="K47" s="502">
        <v>0</v>
      </c>
      <c r="L47" s="502">
        <v>800</v>
      </c>
      <c r="M47" s="502">
        <v>0</v>
      </c>
      <c r="N47" s="502">
        <v>0</v>
      </c>
      <c r="O47" s="502">
        <v>0</v>
      </c>
      <c r="P47" s="502">
        <f>K47+L47-M47+N47-O47</f>
        <v>800</v>
      </c>
      <c r="Q47" s="503"/>
    </row>
    <row r="48" spans="1:19" s="504" customFormat="1" ht="14.25" x14ac:dyDescent="0.2">
      <c r="A48" s="500">
        <v>335</v>
      </c>
      <c r="B48" s="500">
        <v>0</v>
      </c>
      <c r="C48" s="500" t="s">
        <v>750</v>
      </c>
      <c r="D48" s="500" t="s">
        <v>752</v>
      </c>
      <c r="E48" s="500"/>
      <c r="F48" s="500"/>
      <c r="G48" s="500"/>
      <c r="H48" s="500"/>
      <c r="I48" s="501" t="s">
        <v>163</v>
      </c>
      <c r="J48" s="506" t="s">
        <v>547</v>
      </c>
      <c r="K48" s="502">
        <v>14600</v>
      </c>
      <c r="L48" s="502">
        <v>11973.43</v>
      </c>
      <c r="M48" s="502">
        <v>11973.42</v>
      </c>
      <c r="N48" s="502">
        <v>0</v>
      </c>
      <c r="O48" s="502">
        <v>2626.58</v>
      </c>
      <c r="P48" s="502">
        <f>K48+L48-M48+N48-O48</f>
        <v>11973.43</v>
      </c>
      <c r="Q48" s="503"/>
    </row>
    <row r="49" spans="1:21" s="504" customFormat="1" ht="14.25" x14ac:dyDescent="0.2">
      <c r="A49" s="500">
        <v>337</v>
      </c>
      <c r="B49" s="500">
        <v>0</v>
      </c>
      <c r="C49" s="500" t="s">
        <v>750</v>
      </c>
      <c r="D49" s="500" t="s">
        <v>753</v>
      </c>
      <c r="E49" s="500"/>
      <c r="F49" s="500"/>
      <c r="G49" s="500"/>
      <c r="H49" s="500"/>
      <c r="I49" s="501" t="s">
        <v>163</v>
      </c>
      <c r="J49" s="506" t="s">
        <v>547</v>
      </c>
      <c r="K49" s="502">
        <v>1250</v>
      </c>
      <c r="L49" s="502">
        <v>5650</v>
      </c>
      <c r="M49" s="502">
        <v>5850</v>
      </c>
      <c r="N49" s="502">
        <v>0</v>
      </c>
      <c r="O49" s="502">
        <v>1050</v>
      </c>
      <c r="P49" s="502">
        <f>K49+L49-M49+N49-O49</f>
        <v>0</v>
      </c>
      <c r="Q49" s="503"/>
    </row>
    <row r="50" spans="1:21" s="207" customFormat="1" x14ac:dyDescent="0.25">
      <c r="J50" s="224"/>
      <c r="K50" s="209"/>
      <c r="L50" s="209"/>
      <c r="M50" s="209"/>
      <c r="N50" s="209"/>
      <c r="O50" s="209"/>
      <c r="P50" s="209"/>
      <c r="Q50" s="207" t="s">
        <v>265</v>
      </c>
      <c r="R50" s="207" t="s">
        <v>266</v>
      </c>
    </row>
    <row r="51" spans="1:21" s="207" customFormat="1" x14ac:dyDescent="0.25">
      <c r="D51" s="214" t="s">
        <v>291</v>
      </c>
      <c r="E51" s="214"/>
      <c r="F51" s="214"/>
      <c r="G51" s="214"/>
      <c r="H51" s="214"/>
      <c r="J51" s="226" t="s">
        <v>547</v>
      </c>
      <c r="K51" s="209"/>
      <c r="L51" s="210">
        <f>SUM(L44:L50)</f>
        <v>23768.47</v>
      </c>
      <c r="M51" s="209"/>
      <c r="N51" s="209"/>
      <c r="O51" s="209"/>
      <c r="P51" s="209"/>
      <c r="Q51" s="228">
        <f>'Ratei e risconti'!D46</f>
        <v>0</v>
      </c>
      <c r="R51" s="228">
        <f>'Ratei e risconti'!F46</f>
        <v>0</v>
      </c>
      <c r="S51" s="207" t="s">
        <v>212</v>
      </c>
      <c r="T51" s="322" t="s">
        <v>465</v>
      </c>
      <c r="U51" s="228">
        <f>Altre!F134</f>
        <v>0</v>
      </c>
    </row>
    <row r="52" spans="1:21" s="207" customFormat="1" x14ac:dyDescent="0.25">
      <c r="J52" s="224"/>
      <c r="K52" s="209"/>
      <c r="L52" s="209"/>
      <c r="M52" s="209"/>
      <c r="N52" s="209"/>
      <c r="O52" s="209"/>
      <c r="P52" s="209"/>
    </row>
    <row r="53" spans="1:21" s="212" customFormat="1" x14ac:dyDescent="0.25">
      <c r="J53" s="225"/>
      <c r="K53" s="213"/>
      <c r="L53" s="213"/>
      <c r="M53" s="213"/>
      <c r="N53" s="213"/>
      <c r="O53" s="213"/>
      <c r="P53" s="213"/>
    </row>
    <row r="54" spans="1:21" s="207" customFormat="1" x14ac:dyDescent="0.25">
      <c r="J54" s="224"/>
      <c r="K54" s="209"/>
      <c r="L54" s="209"/>
      <c r="M54" s="209"/>
      <c r="N54" s="209"/>
      <c r="O54" s="209"/>
      <c r="P54" s="209"/>
      <c r="Q54" s="207" t="s">
        <v>265</v>
      </c>
      <c r="R54" s="207" t="s">
        <v>266</v>
      </c>
    </row>
    <row r="55" spans="1:21" s="207" customFormat="1" x14ac:dyDescent="0.25">
      <c r="D55" s="208" t="s">
        <v>372</v>
      </c>
      <c r="E55" s="208"/>
      <c r="F55" s="208"/>
      <c r="G55" s="208"/>
      <c r="H55" s="208"/>
      <c r="J55" s="226" t="s">
        <v>548</v>
      </c>
      <c r="K55" s="209"/>
      <c r="L55" s="210">
        <f>SUM(L52:L54)</f>
        <v>0</v>
      </c>
      <c r="M55" s="209"/>
      <c r="N55" s="209"/>
      <c r="O55" s="209"/>
      <c r="P55" s="209"/>
      <c r="Q55" s="228">
        <f>'Ratei e risconti'!D47</f>
        <v>0</v>
      </c>
      <c r="R55" s="228">
        <f>'Ratei e risconti'!F47</f>
        <v>0</v>
      </c>
      <c r="S55" s="207" t="s">
        <v>212</v>
      </c>
      <c r="T55" s="322" t="s">
        <v>465</v>
      </c>
      <c r="U55" s="228">
        <f>Altre!F135</f>
        <v>0</v>
      </c>
    </row>
    <row r="56" spans="1:21" s="207" customFormat="1" x14ac:dyDescent="0.25">
      <c r="J56" s="224"/>
      <c r="K56" s="209"/>
      <c r="L56" s="209"/>
      <c r="M56" s="209"/>
      <c r="N56" s="209"/>
      <c r="O56" s="209"/>
      <c r="P56" s="209"/>
    </row>
    <row r="57" spans="1:21" s="207" customFormat="1" x14ac:dyDescent="0.25">
      <c r="J57" s="224"/>
      <c r="K57" s="209"/>
      <c r="L57" s="209"/>
      <c r="M57" s="209"/>
      <c r="N57" s="209"/>
      <c r="O57" s="209"/>
      <c r="P57" s="209"/>
    </row>
    <row r="58" spans="1:21" s="504" customFormat="1" ht="14.25" x14ac:dyDescent="0.2">
      <c r="A58" s="500">
        <v>270</v>
      </c>
      <c r="B58" s="500">
        <v>0</v>
      </c>
      <c r="C58" s="500" t="s">
        <v>736</v>
      </c>
      <c r="D58" s="500" t="s">
        <v>737</v>
      </c>
      <c r="E58" s="500"/>
      <c r="F58" s="500"/>
      <c r="G58" s="500"/>
      <c r="H58" s="500"/>
      <c r="I58" s="501" t="s">
        <v>163</v>
      </c>
      <c r="J58" s="505" t="s">
        <v>549</v>
      </c>
      <c r="K58" s="502">
        <v>0</v>
      </c>
      <c r="L58" s="502">
        <v>3290</v>
      </c>
      <c r="M58" s="502">
        <v>3290</v>
      </c>
      <c r="N58" s="502">
        <v>0</v>
      </c>
      <c r="O58" s="502">
        <v>0</v>
      </c>
      <c r="P58" s="502">
        <f t="shared" ref="P58:P64" si="2">K58+L58-M58+N58-O58</f>
        <v>0</v>
      </c>
      <c r="Q58" s="503"/>
    </row>
    <row r="59" spans="1:21" s="504" customFormat="1" ht="14.25" x14ac:dyDescent="0.2">
      <c r="A59" s="500">
        <v>220</v>
      </c>
      <c r="B59" s="500">
        <v>0</v>
      </c>
      <c r="C59" s="500" t="s">
        <v>738</v>
      </c>
      <c r="D59" s="500" t="s">
        <v>739</v>
      </c>
      <c r="E59" s="500"/>
      <c r="F59" s="500"/>
      <c r="G59" s="500"/>
      <c r="H59" s="500"/>
      <c r="I59" s="501" t="s">
        <v>163</v>
      </c>
      <c r="J59" s="505" t="s">
        <v>549</v>
      </c>
      <c r="K59" s="502">
        <v>134</v>
      </c>
      <c r="L59" s="502">
        <v>2498</v>
      </c>
      <c r="M59" s="502">
        <v>2632</v>
      </c>
      <c r="N59" s="502">
        <v>0</v>
      </c>
      <c r="O59" s="502">
        <v>0</v>
      </c>
      <c r="P59" s="502">
        <f t="shared" si="2"/>
        <v>0</v>
      </c>
      <c r="Q59" s="503"/>
    </row>
    <row r="60" spans="1:21" s="504" customFormat="1" ht="14.25" x14ac:dyDescent="0.2">
      <c r="A60" s="500">
        <v>216</v>
      </c>
      <c r="B60" s="500">
        <v>0</v>
      </c>
      <c r="C60" s="500" t="s">
        <v>740</v>
      </c>
      <c r="D60" s="500" t="s">
        <v>741</v>
      </c>
      <c r="E60" s="500"/>
      <c r="F60" s="500"/>
      <c r="G60" s="500"/>
      <c r="H60" s="500"/>
      <c r="I60" s="501" t="s">
        <v>163</v>
      </c>
      <c r="J60" s="505" t="s">
        <v>549</v>
      </c>
      <c r="K60" s="502">
        <v>500</v>
      </c>
      <c r="L60" s="502">
        <v>0</v>
      </c>
      <c r="M60" s="502">
        <v>0</v>
      </c>
      <c r="N60" s="502">
        <v>0</v>
      </c>
      <c r="O60" s="502">
        <v>500</v>
      </c>
      <c r="P60" s="502">
        <f t="shared" si="2"/>
        <v>0</v>
      </c>
      <c r="Q60" s="503"/>
    </row>
    <row r="61" spans="1:21" s="504" customFormat="1" ht="14.25" x14ac:dyDescent="0.2">
      <c r="A61" s="500">
        <v>170</v>
      </c>
      <c r="B61" s="500">
        <v>0</v>
      </c>
      <c r="C61" s="500" t="s">
        <v>742</v>
      </c>
      <c r="D61" s="500" t="s">
        <v>743</v>
      </c>
      <c r="E61" s="500"/>
      <c r="F61" s="500"/>
      <c r="G61" s="500"/>
      <c r="H61" s="500"/>
      <c r="I61" s="501" t="s">
        <v>163</v>
      </c>
      <c r="J61" s="505" t="s">
        <v>549</v>
      </c>
      <c r="K61" s="502">
        <v>20.8</v>
      </c>
      <c r="L61" s="502">
        <v>265.45999999999998</v>
      </c>
      <c r="M61" s="502">
        <v>267.8</v>
      </c>
      <c r="N61" s="502">
        <v>0</v>
      </c>
      <c r="O61" s="502">
        <v>0</v>
      </c>
      <c r="P61" s="502">
        <f t="shared" si="2"/>
        <v>18.45999999999998</v>
      </c>
      <c r="Q61" s="503"/>
    </row>
    <row r="62" spans="1:21" s="504" customFormat="1" ht="14.25" x14ac:dyDescent="0.2">
      <c r="A62" s="500">
        <v>180</v>
      </c>
      <c r="B62" s="500">
        <v>0</v>
      </c>
      <c r="C62" s="500" t="s">
        <v>742</v>
      </c>
      <c r="D62" s="500" t="s">
        <v>744</v>
      </c>
      <c r="E62" s="500"/>
      <c r="F62" s="500"/>
      <c r="G62" s="500"/>
      <c r="H62" s="500"/>
      <c r="I62" s="501" t="s">
        <v>163</v>
      </c>
      <c r="J62" s="505" t="s">
        <v>549</v>
      </c>
      <c r="K62" s="502">
        <v>375</v>
      </c>
      <c r="L62" s="502">
        <v>3925</v>
      </c>
      <c r="M62" s="502">
        <v>4095</v>
      </c>
      <c r="N62" s="502">
        <v>0</v>
      </c>
      <c r="O62" s="502">
        <v>0</v>
      </c>
      <c r="P62" s="502">
        <f t="shared" si="2"/>
        <v>205</v>
      </c>
      <c r="Q62" s="503"/>
    </row>
    <row r="63" spans="1:21" s="504" customFormat="1" ht="14.25" x14ac:dyDescent="0.2">
      <c r="A63" s="500">
        <v>200</v>
      </c>
      <c r="B63" s="500">
        <v>0</v>
      </c>
      <c r="C63" s="500" t="s">
        <v>742</v>
      </c>
      <c r="D63" s="500" t="s">
        <v>745</v>
      </c>
      <c r="E63" s="500"/>
      <c r="F63" s="500"/>
      <c r="G63" s="500"/>
      <c r="H63" s="500"/>
      <c r="I63" s="501" t="s">
        <v>163</v>
      </c>
      <c r="J63" s="505" t="s">
        <v>549</v>
      </c>
      <c r="K63" s="502">
        <v>1126.5999999999999</v>
      </c>
      <c r="L63" s="502">
        <v>1853</v>
      </c>
      <c r="M63" s="502">
        <v>1350.39</v>
      </c>
      <c r="N63" s="502">
        <v>0</v>
      </c>
      <c r="O63" s="502">
        <v>0</v>
      </c>
      <c r="P63" s="502">
        <f t="shared" si="2"/>
        <v>1629.2099999999998</v>
      </c>
      <c r="Q63" s="503"/>
    </row>
    <row r="64" spans="1:21" s="504" customFormat="1" ht="14.25" x14ac:dyDescent="0.2">
      <c r="A64" s="500">
        <v>275</v>
      </c>
      <c r="B64" s="500">
        <v>0</v>
      </c>
      <c r="C64" s="500" t="s">
        <v>746</v>
      </c>
      <c r="D64" s="500" t="s">
        <v>747</v>
      </c>
      <c r="E64" s="500"/>
      <c r="F64" s="500"/>
      <c r="G64" s="500"/>
      <c r="H64" s="500"/>
      <c r="I64" s="501" t="s">
        <v>163</v>
      </c>
      <c r="J64" s="505" t="s">
        <v>549</v>
      </c>
      <c r="K64" s="502">
        <v>8000</v>
      </c>
      <c r="L64" s="502">
        <v>2000</v>
      </c>
      <c r="M64" s="502">
        <v>3586.97</v>
      </c>
      <c r="N64" s="502">
        <v>0</v>
      </c>
      <c r="O64" s="502">
        <v>4413.03</v>
      </c>
      <c r="P64" s="502">
        <f t="shared" si="2"/>
        <v>2000.0000000000009</v>
      </c>
      <c r="Q64" s="503"/>
    </row>
    <row r="65" spans="1:21" s="207" customFormat="1" x14ac:dyDescent="0.25">
      <c r="J65" s="224"/>
      <c r="K65" s="209"/>
      <c r="L65" s="209"/>
      <c r="M65" s="209"/>
      <c r="N65" s="209"/>
      <c r="O65" s="209"/>
      <c r="P65" s="209"/>
      <c r="Q65" s="207" t="s">
        <v>265</v>
      </c>
      <c r="R65" s="207" t="s">
        <v>266</v>
      </c>
    </row>
    <row r="66" spans="1:21" s="212" customFormat="1" x14ac:dyDescent="0.25">
      <c r="D66" s="214" t="s">
        <v>293</v>
      </c>
      <c r="E66" s="214"/>
      <c r="F66" s="214"/>
      <c r="G66" s="214"/>
      <c r="H66" s="214"/>
      <c r="J66" s="226" t="s">
        <v>549</v>
      </c>
      <c r="K66" s="213"/>
      <c r="L66" s="210">
        <f>SUM(L56:L65)</f>
        <v>13831.46</v>
      </c>
      <c r="M66" s="213"/>
      <c r="N66" s="213"/>
      <c r="O66" s="213"/>
      <c r="P66" s="213"/>
      <c r="Q66" s="228">
        <f>'Ratei e risconti'!D48</f>
        <v>0</v>
      </c>
      <c r="R66" s="228">
        <f>'Ratei e risconti'!F48</f>
        <v>0</v>
      </c>
      <c r="S66" s="207" t="s">
        <v>212</v>
      </c>
      <c r="T66" s="322" t="s">
        <v>465</v>
      </c>
      <c r="U66" s="211">
        <f>Altre!F136</f>
        <v>629</v>
      </c>
    </row>
    <row r="67" spans="1:21" s="212" customFormat="1" x14ac:dyDescent="0.25">
      <c r="D67" s="214"/>
      <c r="E67" s="214"/>
      <c r="F67" s="214"/>
      <c r="G67" s="214"/>
      <c r="H67" s="214"/>
      <c r="J67" s="225"/>
      <c r="K67" s="213"/>
      <c r="L67" s="215"/>
      <c r="M67" s="213"/>
      <c r="N67" s="213"/>
      <c r="O67" s="213"/>
      <c r="P67" s="213"/>
    </row>
    <row r="68" spans="1:21" s="212" customFormat="1" x14ac:dyDescent="0.25">
      <c r="D68" s="214"/>
      <c r="E68" s="214"/>
      <c r="F68" s="214"/>
      <c r="G68" s="214"/>
      <c r="H68" s="214"/>
      <c r="J68" s="225"/>
      <c r="K68" s="213"/>
      <c r="L68" s="215"/>
      <c r="M68" s="213"/>
      <c r="N68" s="213"/>
      <c r="O68" s="213"/>
      <c r="P68" s="213"/>
    </row>
    <row r="69" spans="1:21" s="504" customFormat="1" ht="14.25" x14ac:dyDescent="0.2">
      <c r="A69" s="500">
        <v>210</v>
      </c>
      <c r="B69" s="500">
        <v>0</v>
      </c>
      <c r="C69" s="500" t="s">
        <v>756</v>
      </c>
      <c r="D69" s="500" t="s">
        <v>757</v>
      </c>
      <c r="E69" s="500"/>
      <c r="F69" s="500"/>
      <c r="G69" s="500"/>
      <c r="H69" s="500"/>
      <c r="I69" s="501" t="s">
        <v>169</v>
      </c>
      <c r="J69" s="506" t="s">
        <v>550</v>
      </c>
      <c r="K69" s="502">
        <v>0</v>
      </c>
      <c r="L69" s="502">
        <v>1200</v>
      </c>
      <c r="M69" s="502">
        <v>700</v>
      </c>
      <c r="N69" s="502">
        <v>0</v>
      </c>
      <c r="O69" s="502">
        <v>0</v>
      </c>
      <c r="P69" s="502">
        <f>K69+L69-M69+N69-O69</f>
        <v>500</v>
      </c>
      <c r="Q69" s="503"/>
    </row>
    <row r="70" spans="1:21" s="504" customFormat="1" ht="14.25" x14ac:dyDescent="0.2">
      <c r="A70" s="500">
        <v>260</v>
      </c>
      <c r="B70" s="500">
        <v>0</v>
      </c>
      <c r="C70" s="500" t="s">
        <v>756</v>
      </c>
      <c r="D70" s="500" t="s">
        <v>758</v>
      </c>
      <c r="E70" s="500"/>
      <c r="F70" s="500"/>
      <c r="G70" s="500"/>
      <c r="H70" s="500"/>
      <c r="I70" s="501" t="s">
        <v>169</v>
      </c>
      <c r="J70" s="506" t="s">
        <v>550</v>
      </c>
      <c r="K70" s="502">
        <v>5402.54</v>
      </c>
      <c r="L70" s="502">
        <v>15099.92</v>
      </c>
      <c r="M70" s="502">
        <v>20488.580000000002</v>
      </c>
      <c r="N70" s="502">
        <v>448.38</v>
      </c>
      <c r="O70" s="502">
        <v>0</v>
      </c>
      <c r="P70" s="502">
        <f>K70+L70-M70+N70-O70</f>
        <v>462.25999999999738</v>
      </c>
      <c r="Q70" s="503"/>
    </row>
    <row r="71" spans="1:21" s="504" customFormat="1" ht="14.25" x14ac:dyDescent="0.2">
      <c r="A71" s="500">
        <v>330</v>
      </c>
      <c r="B71" s="500">
        <v>0</v>
      </c>
      <c r="C71" s="500" t="s">
        <v>756</v>
      </c>
      <c r="D71" s="500" t="s">
        <v>759</v>
      </c>
      <c r="E71" s="500"/>
      <c r="F71" s="500"/>
      <c r="G71" s="500"/>
      <c r="H71" s="500"/>
      <c r="I71" s="501" t="s">
        <v>169</v>
      </c>
      <c r="J71" s="506" t="s">
        <v>550</v>
      </c>
      <c r="K71" s="502">
        <v>28.86</v>
      </c>
      <c r="L71" s="502">
        <v>124.06</v>
      </c>
      <c r="M71" s="502">
        <v>152.91999999999999</v>
      </c>
      <c r="N71" s="502">
        <v>0</v>
      </c>
      <c r="O71" s="502">
        <v>0</v>
      </c>
      <c r="P71" s="502">
        <f>K71+L71-M71+N71-O71</f>
        <v>2.8421709430404007E-14</v>
      </c>
      <c r="Q71" s="503"/>
    </row>
    <row r="72" spans="1:21" s="207" customFormat="1" x14ac:dyDescent="0.25">
      <c r="J72" s="224"/>
      <c r="K72" s="209"/>
      <c r="L72" s="209"/>
      <c r="M72" s="209"/>
      <c r="N72" s="209"/>
      <c r="O72" s="209"/>
      <c r="P72" s="209"/>
      <c r="Q72" s="207" t="s">
        <v>265</v>
      </c>
      <c r="R72" s="207" t="s">
        <v>266</v>
      </c>
    </row>
    <row r="73" spans="1:21" s="207" customFormat="1" x14ac:dyDescent="0.25">
      <c r="D73" s="216" t="s">
        <v>297</v>
      </c>
      <c r="E73" s="216"/>
      <c r="F73" s="216"/>
      <c r="G73" s="216"/>
      <c r="H73" s="216"/>
      <c r="J73" s="226" t="s">
        <v>550</v>
      </c>
      <c r="K73" s="209"/>
      <c r="L73" s="210">
        <f>SUM(L67:L72)</f>
        <v>16423.98</v>
      </c>
      <c r="M73" s="209"/>
      <c r="N73" s="209"/>
      <c r="O73" s="209"/>
      <c r="P73" s="209"/>
      <c r="Q73" s="228">
        <f>'Ratei e risconti'!D49</f>
        <v>0</v>
      </c>
      <c r="R73" s="228">
        <f>'Ratei e risconti'!F49</f>
        <v>0</v>
      </c>
      <c r="S73" s="207" t="s">
        <v>212</v>
      </c>
      <c r="T73" s="322" t="s">
        <v>465</v>
      </c>
      <c r="U73" s="228">
        <f>Altre!F137</f>
        <v>0</v>
      </c>
    </row>
    <row r="74" spans="1:21" s="207" customFormat="1" x14ac:dyDescent="0.25">
      <c r="J74" s="224"/>
      <c r="K74" s="209"/>
      <c r="L74" s="209"/>
      <c r="M74" s="209"/>
      <c r="N74" s="209"/>
      <c r="O74" s="209"/>
      <c r="P74" s="209"/>
    </row>
    <row r="75" spans="1:21" s="207" customFormat="1" x14ac:dyDescent="0.25">
      <c r="J75" s="224"/>
      <c r="K75" s="209"/>
      <c r="L75" s="209"/>
      <c r="M75" s="209"/>
      <c r="N75" s="209"/>
      <c r="O75" s="209"/>
      <c r="P75" s="209"/>
    </row>
    <row r="76" spans="1:21" s="207" customFormat="1" x14ac:dyDescent="0.25">
      <c r="J76" s="224"/>
      <c r="K76" s="209"/>
      <c r="L76" s="209"/>
      <c r="M76" s="209"/>
      <c r="N76" s="209"/>
      <c r="O76" s="209"/>
      <c r="P76" s="209"/>
    </row>
    <row r="77" spans="1:21" s="207" customFormat="1" x14ac:dyDescent="0.25">
      <c r="D77" s="217" t="s">
        <v>373</v>
      </c>
      <c r="E77" s="217"/>
      <c r="F77" s="217"/>
      <c r="G77" s="217"/>
      <c r="H77" s="217"/>
      <c r="J77" s="226" t="s">
        <v>555</v>
      </c>
      <c r="K77" s="209"/>
      <c r="L77" s="210">
        <f>SUM(L74:L76)</f>
        <v>0</v>
      </c>
      <c r="M77" s="209"/>
      <c r="N77" s="209"/>
      <c r="O77" s="209"/>
      <c r="P77" s="209"/>
    </row>
    <row r="78" spans="1:21" s="207" customFormat="1" x14ac:dyDescent="0.25">
      <c r="A78" s="203"/>
      <c r="B78" s="203"/>
      <c r="C78" s="203"/>
      <c r="D78" s="203"/>
      <c r="E78" s="203"/>
      <c r="F78" s="203"/>
      <c r="G78" s="203"/>
      <c r="H78" s="203"/>
      <c r="I78" s="203"/>
      <c r="J78" s="204"/>
      <c r="K78" s="218"/>
      <c r="L78" s="218"/>
      <c r="M78" s="218"/>
      <c r="N78" s="218"/>
      <c r="O78" s="218"/>
      <c r="P78" s="218"/>
      <c r="Q78" s="203"/>
    </row>
    <row r="80" spans="1:21" ht="12.75" x14ac:dyDescent="0.2">
      <c r="K80" s="219"/>
      <c r="L80" s="219"/>
      <c r="M80" s="219"/>
      <c r="N80" s="219"/>
      <c r="O80" s="219"/>
      <c r="P80" s="219"/>
    </row>
    <row r="81" spans="1:18" x14ac:dyDescent="0.25">
      <c r="D81" s="217" t="s">
        <v>374</v>
      </c>
      <c r="E81" s="217"/>
      <c r="F81" s="217"/>
      <c r="G81" s="217"/>
      <c r="H81" s="217"/>
      <c r="J81" s="226" t="s">
        <v>556</v>
      </c>
      <c r="L81" s="210">
        <f>SUM(L78:L80)</f>
        <v>0</v>
      </c>
    </row>
    <row r="85" spans="1:18" x14ac:dyDescent="0.25">
      <c r="D85" s="217" t="s">
        <v>375</v>
      </c>
      <c r="E85" s="217"/>
      <c r="F85" s="217"/>
      <c r="G85" s="217"/>
      <c r="H85" s="217"/>
      <c r="J85" s="226" t="s">
        <v>557</v>
      </c>
      <c r="L85" s="210">
        <f>SUM(L82:L84)</f>
        <v>0</v>
      </c>
    </row>
    <row r="88" spans="1:18" s="504" customFormat="1" ht="14.25" x14ac:dyDescent="0.2">
      <c r="A88" s="500">
        <v>320</v>
      </c>
      <c r="B88" s="500">
        <v>0</v>
      </c>
      <c r="C88" s="500" t="s">
        <v>754</v>
      </c>
      <c r="D88" s="500" t="s">
        <v>755</v>
      </c>
      <c r="E88" s="500"/>
      <c r="F88" s="500"/>
      <c r="G88" s="500"/>
      <c r="H88" s="500"/>
      <c r="I88" s="501" t="s">
        <v>169</v>
      </c>
      <c r="J88" s="506" t="s">
        <v>558</v>
      </c>
      <c r="K88" s="502">
        <v>0</v>
      </c>
      <c r="L88" s="502">
        <v>0.11</v>
      </c>
      <c r="M88" s="502">
        <v>0.11</v>
      </c>
      <c r="N88" s="502">
        <v>0</v>
      </c>
      <c r="O88" s="502">
        <v>0</v>
      </c>
      <c r="P88" s="502">
        <f>K88+L88-M88+N88-O88</f>
        <v>0</v>
      </c>
      <c r="Q88" s="503"/>
    </row>
    <row r="90" spans="1:18" x14ac:dyDescent="0.25">
      <c r="D90" s="217" t="s">
        <v>324</v>
      </c>
      <c r="E90" s="217"/>
      <c r="F90" s="217"/>
      <c r="G90" s="217"/>
      <c r="H90" s="217"/>
      <c r="J90" s="226" t="s">
        <v>558</v>
      </c>
      <c r="L90" s="210">
        <f>SUM(L86:L89)</f>
        <v>0.11</v>
      </c>
    </row>
    <row r="93" spans="1:18" s="504" customFormat="1" ht="14.25" x14ac:dyDescent="0.2">
      <c r="A93" s="500">
        <v>435</v>
      </c>
      <c r="B93" s="500">
        <v>0</v>
      </c>
      <c r="C93" s="500" t="s">
        <v>778</v>
      </c>
      <c r="D93" s="500" t="s">
        <v>779</v>
      </c>
      <c r="E93" s="500"/>
      <c r="F93" s="500"/>
      <c r="G93" s="500"/>
      <c r="H93" s="500"/>
      <c r="I93" s="501" t="s">
        <v>155</v>
      </c>
      <c r="J93" s="501" t="s">
        <v>559</v>
      </c>
      <c r="K93" s="502">
        <v>9865.73</v>
      </c>
      <c r="L93" s="502">
        <v>6527.16</v>
      </c>
      <c r="M93" s="502">
        <v>10670.87</v>
      </c>
      <c r="N93" s="502">
        <v>0</v>
      </c>
      <c r="O93" s="502">
        <v>0</v>
      </c>
      <c r="P93" s="502">
        <f>K93+L93-M93+N93-O93</f>
        <v>5722.0199999999986</v>
      </c>
      <c r="Q93" s="503"/>
    </row>
    <row r="95" spans="1:18" x14ac:dyDescent="0.25">
      <c r="D95" s="217" t="s">
        <v>339</v>
      </c>
      <c r="E95" s="217"/>
      <c r="F95" s="217"/>
      <c r="G95" s="217"/>
      <c r="H95" s="217"/>
      <c r="J95" s="226" t="s">
        <v>559</v>
      </c>
      <c r="L95" s="210">
        <f>SUM(L91:L94)</f>
        <v>6527.16</v>
      </c>
      <c r="R95" s="229"/>
    </row>
    <row r="99" spans="1:17" x14ac:dyDescent="0.25">
      <c r="D99" s="217" t="s">
        <v>340</v>
      </c>
      <c r="E99" s="217"/>
      <c r="F99" s="217"/>
      <c r="G99" s="217"/>
      <c r="H99" s="217"/>
      <c r="J99" s="226" t="s">
        <v>674</v>
      </c>
      <c r="L99" s="210">
        <f>SUM(L96:L98)</f>
        <v>0</v>
      </c>
    </row>
    <row r="103" spans="1:17" x14ac:dyDescent="0.25">
      <c r="D103" s="217" t="s">
        <v>342</v>
      </c>
      <c r="E103" s="217"/>
      <c r="F103" s="217"/>
      <c r="G103" s="217"/>
      <c r="H103" s="217"/>
      <c r="J103" s="226" t="s">
        <v>560</v>
      </c>
      <c r="L103" s="210">
        <f>SUM(L100:L102)</f>
        <v>0</v>
      </c>
    </row>
    <row r="106" spans="1:17" x14ac:dyDescent="0.25">
      <c r="D106" s="408" t="s">
        <v>515</v>
      </c>
    </row>
    <row r="108" spans="1:17" s="504" customFormat="1" ht="14.25" x14ac:dyDescent="0.2">
      <c r="A108" s="500">
        <v>450</v>
      </c>
      <c r="B108" s="500">
        <v>0</v>
      </c>
      <c r="C108" s="500" t="s">
        <v>780</v>
      </c>
      <c r="D108" s="500" t="s">
        <v>781</v>
      </c>
      <c r="E108" s="500"/>
      <c r="F108" s="500"/>
      <c r="G108" s="500"/>
      <c r="H108" s="500"/>
      <c r="I108" s="501" t="s">
        <v>169</v>
      </c>
      <c r="J108" s="501" t="s">
        <v>782</v>
      </c>
      <c r="K108" s="502">
        <v>7419.81</v>
      </c>
      <c r="L108" s="502">
        <v>26848.5</v>
      </c>
      <c r="M108" s="502">
        <v>34268.31</v>
      </c>
      <c r="N108" s="502">
        <v>0</v>
      </c>
      <c r="O108" s="502">
        <v>0</v>
      </c>
      <c r="P108" s="502">
        <f t="shared" ref="P108:P116" si="3">K108+L108-M108+N108-O108</f>
        <v>0</v>
      </c>
      <c r="Q108" s="503"/>
    </row>
    <row r="109" spans="1:17" s="504" customFormat="1" ht="14.25" x14ac:dyDescent="0.2">
      <c r="A109" s="500">
        <v>600</v>
      </c>
      <c r="B109" s="500">
        <v>0</v>
      </c>
      <c r="C109" s="500" t="s">
        <v>783</v>
      </c>
      <c r="D109" s="500" t="s">
        <v>784</v>
      </c>
      <c r="E109" s="500"/>
      <c r="F109" s="500"/>
      <c r="G109" s="500"/>
      <c r="H109" s="500"/>
      <c r="I109" s="501" t="s">
        <v>169</v>
      </c>
      <c r="J109" s="507" t="s">
        <v>785</v>
      </c>
      <c r="K109" s="502">
        <v>533.5</v>
      </c>
      <c r="L109" s="502">
        <v>19852.79</v>
      </c>
      <c r="M109" s="502">
        <v>19740.2</v>
      </c>
      <c r="N109" s="502">
        <v>0</v>
      </c>
      <c r="O109" s="502">
        <v>533.5</v>
      </c>
      <c r="P109" s="502">
        <f t="shared" si="3"/>
        <v>112.59000000000015</v>
      </c>
      <c r="Q109" s="503"/>
    </row>
    <row r="110" spans="1:17" s="504" customFormat="1" ht="14.25" x14ac:dyDescent="0.2">
      <c r="A110" s="500">
        <v>600</v>
      </c>
      <c r="B110" s="500">
        <v>1</v>
      </c>
      <c r="C110" s="500" t="s">
        <v>783</v>
      </c>
      <c r="D110" s="500" t="s">
        <v>786</v>
      </c>
      <c r="E110" s="500"/>
      <c r="F110" s="500"/>
      <c r="G110" s="500"/>
      <c r="H110" s="500"/>
      <c r="I110" s="501" t="s">
        <v>169</v>
      </c>
      <c r="J110" s="507" t="s">
        <v>785</v>
      </c>
      <c r="K110" s="502">
        <v>0</v>
      </c>
      <c r="L110" s="502">
        <v>5623.56</v>
      </c>
      <c r="M110" s="502">
        <v>5623.56</v>
      </c>
      <c r="N110" s="502">
        <v>0</v>
      </c>
      <c r="O110" s="502">
        <v>0</v>
      </c>
      <c r="P110" s="502">
        <f t="shared" si="3"/>
        <v>0</v>
      </c>
      <c r="Q110" s="503"/>
    </row>
    <row r="111" spans="1:17" s="504" customFormat="1" ht="14.25" x14ac:dyDescent="0.2">
      <c r="A111" s="500">
        <v>590</v>
      </c>
      <c r="B111" s="500">
        <v>0</v>
      </c>
      <c r="C111" s="500" t="s">
        <v>787</v>
      </c>
      <c r="D111" s="500" t="s">
        <v>788</v>
      </c>
      <c r="E111" s="500"/>
      <c r="F111" s="500"/>
      <c r="G111" s="500"/>
      <c r="H111" s="500"/>
      <c r="I111" s="501" t="s">
        <v>169</v>
      </c>
      <c r="J111" s="507" t="s">
        <v>785</v>
      </c>
      <c r="K111" s="502">
        <v>804.79</v>
      </c>
      <c r="L111" s="502">
        <v>11161.58</v>
      </c>
      <c r="M111" s="502">
        <v>10409.15</v>
      </c>
      <c r="N111" s="502">
        <v>0</v>
      </c>
      <c r="O111" s="502">
        <v>804.79</v>
      </c>
      <c r="P111" s="502">
        <f t="shared" si="3"/>
        <v>752.42999999999938</v>
      </c>
      <c r="Q111" s="503"/>
    </row>
    <row r="112" spans="1:17" s="504" customFormat="1" ht="14.25" x14ac:dyDescent="0.2">
      <c r="A112" s="500">
        <v>605</v>
      </c>
      <c r="B112" s="500">
        <v>0</v>
      </c>
      <c r="C112" s="500" t="s">
        <v>789</v>
      </c>
      <c r="D112" s="500" t="s">
        <v>790</v>
      </c>
      <c r="E112" s="500"/>
      <c r="F112" s="500"/>
      <c r="G112" s="500"/>
      <c r="H112" s="500"/>
      <c r="I112" s="501" t="s">
        <v>169</v>
      </c>
      <c r="J112" s="507" t="s">
        <v>785</v>
      </c>
      <c r="K112" s="502">
        <v>0</v>
      </c>
      <c r="L112" s="502">
        <v>1491.7</v>
      </c>
      <c r="M112" s="502">
        <v>1491.7</v>
      </c>
      <c r="N112" s="502">
        <v>0</v>
      </c>
      <c r="O112" s="502">
        <v>0</v>
      </c>
      <c r="P112" s="502">
        <f t="shared" si="3"/>
        <v>0</v>
      </c>
      <c r="Q112" s="503"/>
    </row>
    <row r="113" spans="1:17" s="504" customFormat="1" ht="14.25" x14ac:dyDescent="0.2">
      <c r="A113" s="500">
        <v>606</v>
      </c>
      <c r="B113" s="500">
        <v>0</v>
      </c>
      <c r="C113" s="500" t="s">
        <v>789</v>
      </c>
      <c r="D113" s="500" t="s">
        <v>720</v>
      </c>
      <c r="E113" s="500"/>
      <c r="F113" s="500"/>
      <c r="G113" s="500"/>
      <c r="H113" s="500"/>
      <c r="I113" s="501" t="s">
        <v>169</v>
      </c>
      <c r="J113" s="507" t="s">
        <v>785</v>
      </c>
      <c r="K113" s="502">
        <v>0</v>
      </c>
      <c r="L113" s="502">
        <v>971.2</v>
      </c>
      <c r="M113" s="502">
        <v>949.92</v>
      </c>
      <c r="N113" s="502">
        <v>0</v>
      </c>
      <c r="O113" s="502">
        <v>0</v>
      </c>
      <c r="P113" s="502">
        <f t="shared" si="3"/>
        <v>21.280000000000086</v>
      </c>
      <c r="Q113" s="503"/>
    </row>
    <row r="114" spans="1:17" s="504" customFormat="1" ht="14.25" x14ac:dyDescent="0.2">
      <c r="A114" s="500">
        <v>630</v>
      </c>
      <c r="B114" s="500">
        <v>0</v>
      </c>
      <c r="C114" s="500" t="s">
        <v>791</v>
      </c>
      <c r="D114" s="500" t="s">
        <v>792</v>
      </c>
      <c r="E114" s="500"/>
      <c r="F114" s="500"/>
      <c r="G114" s="500"/>
      <c r="H114" s="500"/>
      <c r="I114" s="501" t="s">
        <v>169</v>
      </c>
      <c r="J114" s="507" t="s">
        <v>785</v>
      </c>
      <c r="K114" s="502">
        <v>5000</v>
      </c>
      <c r="L114" s="502">
        <v>4600</v>
      </c>
      <c r="M114" s="502">
        <v>5000</v>
      </c>
      <c r="N114" s="502">
        <v>0</v>
      </c>
      <c r="O114" s="502">
        <v>0</v>
      </c>
      <c r="P114" s="502">
        <f t="shared" si="3"/>
        <v>4600</v>
      </c>
      <c r="Q114" s="503"/>
    </row>
    <row r="115" spans="1:17" s="504" customFormat="1" ht="14.25" x14ac:dyDescent="0.2">
      <c r="A115" s="500">
        <v>615</v>
      </c>
      <c r="B115" s="500">
        <v>0</v>
      </c>
      <c r="C115" s="500" t="s">
        <v>793</v>
      </c>
      <c r="D115" s="500" t="s">
        <v>794</v>
      </c>
      <c r="E115" s="500"/>
      <c r="F115" s="500"/>
      <c r="G115" s="500"/>
      <c r="H115" s="500"/>
      <c r="I115" s="501" t="s">
        <v>169</v>
      </c>
      <c r="J115" s="507" t="s">
        <v>785</v>
      </c>
      <c r="K115" s="502">
        <v>766.54</v>
      </c>
      <c r="L115" s="502">
        <v>86002.12</v>
      </c>
      <c r="M115" s="502">
        <v>86283.33</v>
      </c>
      <c r="N115" s="502">
        <v>45.67</v>
      </c>
      <c r="O115" s="502">
        <v>0</v>
      </c>
      <c r="P115" s="502">
        <f t="shared" si="3"/>
        <v>530.99999999998715</v>
      </c>
      <c r="Q115" s="503"/>
    </row>
    <row r="116" spans="1:17" s="504" customFormat="1" ht="14.25" x14ac:dyDescent="0.2">
      <c r="A116" s="500">
        <v>620</v>
      </c>
      <c r="B116" s="500">
        <v>0</v>
      </c>
      <c r="C116" s="500" t="s">
        <v>795</v>
      </c>
      <c r="D116" s="500" t="s">
        <v>796</v>
      </c>
      <c r="E116" s="500"/>
      <c r="F116" s="500"/>
      <c r="G116" s="500"/>
      <c r="H116" s="500"/>
      <c r="I116" s="501" t="s">
        <v>167</v>
      </c>
      <c r="J116" s="507" t="s">
        <v>785</v>
      </c>
      <c r="K116" s="502">
        <v>2891.85</v>
      </c>
      <c r="L116" s="502">
        <v>5907.29</v>
      </c>
      <c r="M116" s="502">
        <v>3037.2</v>
      </c>
      <c r="N116" s="502">
        <v>0</v>
      </c>
      <c r="O116" s="502">
        <v>2891.85</v>
      </c>
      <c r="P116" s="502">
        <f t="shared" si="3"/>
        <v>2870.0899999999997</v>
      </c>
      <c r="Q116" s="503"/>
    </row>
  </sheetData>
  <sortState ref="A67:U116">
    <sortCondition ref="J67:J116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workbookViewId="0">
      <selection activeCell="D2" sqref="D2"/>
    </sheetView>
  </sheetViews>
  <sheetFormatPr defaultRowHeight="15" x14ac:dyDescent="0.25"/>
  <cols>
    <col min="1" max="1" width="4.5703125" style="203" bestFit="1" customWidth="1"/>
    <col min="2" max="2" width="4.42578125" style="203" bestFit="1" customWidth="1"/>
    <col min="3" max="3" width="12.7109375" style="203" bestFit="1" customWidth="1"/>
    <col min="4" max="4" width="46.85546875" style="203" bestFit="1" customWidth="1"/>
    <col min="5" max="5" width="5.28515625" style="203" bestFit="1" customWidth="1"/>
    <col min="6" max="6" width="22.140625" style="203" bestFit="1" customWidth="1"/>
    <col min="7" max="7" width="6" style="203" bestFit="1" customWidth="1"/>
    <col min="8" max="8" width="25.7109375" style="203" bestFit="1" customWidth="1"/>
    <col min="9" max="9" width="7.5703125" style="203" bestFit="1" customWidth="1"/>
    <col min="10" max="10" width="7.5703125" style="223" bestFit="1" customWidth="1"/>
    <col min="11" max="11" width="18.140625" style="218" bestFit="1" customWidth="1"/>
    <col min="12" max="12" width="13.28515625" style="218" bestFit="1" customWidth="1"/>
    <col min="13" max="13" width="11.7109375" style="218" bestFit="1" customWidth="1"/>
    <col min="14" max="14" width="10.28515625" style="218" bestFit="1" customWidth="1"/>
    <col min="15" max="15" width="7.85546875" style="218" bestFit="1" customWidth="1"/>
    <col min="16" max="16" width="8.7109375" style="218" bestFit="1" customWidth="1"/>
    <col min="17" max="18" width="9.140625" style="203"/>
    <col min="19" max="19" width="15.5703125" style="203" bestFit="1" customWidth="1"/>
    <col min="20" max="16384" width="9.140625" style="203"/>
  </cols>
  <sheetData>
    <row r="1" spans="1:16" ht="30" x14ac:dyDescent="0.25">
      <c r="A1" t="s">
        <v>150</v>
      </c>
      <c r="B1" t="s">
        <v>151</v>
      </c>
      <c r="C1" s="111" t="s">
        <v>376</v>
      </c>
      <c r="D1" t="s">
        <v>383</v>
      </c>
      <c r="E1" s="111" t="s">
        <v>377</v>
      </c>
      <c r="F1" s="111" t="s">
        <v>379</v>
      </c>
      <c r="G1" s="111" t="s">
        <v>378</v>
      </c>
      <c r="H1" s="111" t="s">
        <v>380</v>
      </c>
      <c r="I1" s="111" t="s">
        <v>382</v>
      </c>
      <c r="J1" s="111" t="s">
        <v>381</v>
      </c>
      <c r="K1" s="64" t="s">
        <v>267</v>
      </c>
      <c r="L1" s="111" t="s">
        <v>269</v>
      </c>
      <c r="M1" s="111" t="s">
        <v>270</v>
      </c>
      <c r="N1" s="187" t="s">
        <v>278</v>
      </c>
      <c r="O1" s="111" t="s">
        <v>279</v>
      </c>
      <c r="P1" s="111" t="s">
        <v>268</v>
      </c>
    </row>
    <row r="2" spans="1:16" x14ac:dyDescent="0.25">
      <c r="K2" s="205"/>
      <c r="L2" s="205"/>
      <c r="M2" s="205"/>
      <c r="N2" s="205"/>
      <c r="O2" s="205"/>
      <c r="P2" s="205"/>
    </row>
    <row r="3" spans="1:16" x14ac:dyDescent="0.25">
      <c r="D3" s="206"/>
      <c r="E3" s="206"/>
      <c r="F3" s="206"/>
      <c r="G3" s="206"/>
      <c r="H3" s="206"/>
      <c r="K3" s="205"/>
      <c r="L3" s="205"/>
      <c r="M3" s="205"/>
      <c r="N3" s="205"/>
      <c r="O3" s="205"/>
      <c r="P3" s="205"/>
    </row>
    <row r="4" spans="1:16" x14ac:dyDescent="0.25">
      <c r="D4" s="206"/>
      <c r="E4" s="206"/>
      <c r="F4" s="206"/>
      <c r="G4" s="206"/>
      <c r="H4" s="206"/>
      <c r="K4" s="205"/>
      <c r="L4" s="205"/>
      <c r="M4" s="205"/>
      <c r="N4" s="205"/>
      <c r="O4" s="205"/>
      <c r="P4" s="205"/>
    </row>
    <row r="5" spans="1:16" s="504" customFormat="1" ht="14.25" x14ac:dyDescent="0.2">
      <c r="A5" s="500">
        <v>610</v>
      </c>
      <c r="B5" s="500">
        <v>0</v>
      </c>
      <c r="C5" s="500" t="s">
        <v>827</v>
      </c>
      <c r="D5" s="500" t="s">
        <v>828</v>
      </c>
      <c r="E5" s="500" t="s">
        <v>829</v>
      </c>
      <c r="F5" s="500"/>
      <c r="G5" s="500" t="s">
        <v>800</v>
      </c>
      <c r="H5" s="500"/>
      <c r="I5" s="508" t="s">
        <v>187</v>
      </c>
      <c r="J5" s="501" t="s">
        <v>544</v>
      </c>
      <c r="K5" s="502">
        <v>2986.78</v>
      </c>
      <c r="L5" s="502">
        <v>1000</v>
      </c>
      <c r="M5" s="502">
        <v>1932.52</v>
      </c>
      <c r="N5" s="502"/>
      <c r="O5" s="502">
        <v>0</v>
      </c>
      <c r="P5" s="502">
        <f t="shared" ref="P5:P18" si="0">K5+L5-M5+N5-O5</f>
        <v>2054.2600000000002</v>
      </c>
    </row>
    <row r="6" spans="1:16" s="504" customFormat="1" ht="14.25" x14ac:dyDescent="0.2">
      <c r="A6" s="500">
        <v>616</v>
      </c>
      <c r="B6" s="500">
        <v>0</v>
      </c>
      <c r="C6" s="500" t="s">
        <v>827</v>
      </c>
      <c r="D6" s="500" t="s">
        <v>830</v>
      </c>
      <c r="E6" s="500" t="s">
        <v>799</v>
      </c>
      <c r="F6" s="500"/>
      <c r="G6" s="500" t="s">
        <v>826</v>
      </c>
      <c r="H6" s="500"/>
      <c r="I6" s="508" t="s">
        <v>187</v>
      </c>
      <c r="J6" s="501" t="s">
        <v>544</v>
      </c>
      <c r="K6" s="502">
        <v>1528.66</v>
      </c>
      <c r="L6" s="502">
        <v>1492.06</v>
      </c>
      <c r="M6" s="502">
        <v>1528.66</v>
      </c>
      <c r="N6" s="502"/>
      <c r="O6" s="502">
        <v>0</v>
      </c>
      <c r="P6" s="502">
        <f t="shared" si="0"/>
        <v>1492.0600000000002</v>
      </c>
    </row>
    <row r="7" spans="1:16" s="504" customFormat="1" ht="14.25" x14ac:dyDescent="0.2">
      <c r="A7" s="500">
        <v>200</v>
      </c>
      <c r="B7" s="500">
        <v>0</v>
      </c>
      <c r="C7" s="500" t="s">
        <v>831</v>
      </c>
      <c r="D7" s="500" t="s">
        <v>832</v>
      </c>
      <c r="E7" s="500" t="s">
        <v>799</v>
      </c>
      <c r="F7" s="500"/>
      <c r="G7" s="500" t="s">
        <v>806</v>
      </c>
      <c r="H7" s="500"/>
      <c r="I7" s="508" t="s">
        <v>187</v>
      </c>
      <c r="J7" s="501" t="s">
        <v>544</v>
      </c>
      <c r="K7" s="502">
        <v>0</v>
      </c>
      <c r="L7" s="502">
        <v>1491.45</v>
      </c>
      <c r="M7" s="502">
        <v>1491.45</v>
      </c>
      <c r="N7" s="502"/>
      <c r="O7" s="502">
        <v>0</v>
      </c>
      <c r="P7" s="502">
        <f t="shared" si="0"/>
        <v>0</v>
      </c>
    </row>
    <row r="8" spans="1:16" s="504" customFormat="1" ht="14.25" x14ac:dyDescent="0.2">
      <c r="A8" s="500">
        <v>200</v>
      </c>
      <c r="B8" s="500">
        <v>1</v>
      </c>
      <c r="C8" s="500" t="s">
        <v>831</v>
      </c>
      <c r="D8" s="500" t="s">
        <v>833</v>
      </c>
      <c r="E8" s="500" t="s">
        <v>799</v>
      </c>
      <c r="F8" s="500"/>
      <c r="G8" s="500" t="s">
        <v>803</v>
      </c>
      <c r="H8" s="500"/>
      <c r="I8" s="508" t="s">
        <v>187</v>
      </c>
      <c r="J8" s="501" t="s">
        <v>544</v>
      </c>
      <c r="K8" s="502">
        <v>366</v>
      </c>
      <c r="L8" s="502">
        <v>753.61</v>
      </c>
      <c r="M8" s="502">
        <v>781.41</v>
      </c>
      <c r="N8" s="502"/>
      <c r="O8" s="502">
        <v>0</v>
      </c>
      <c r="P8" s="502">
        <f t="shared" si="0"/>
        <v>338.20000000000016</v>
      </c>
    </row>
    <row r="9" spans="1:16" s="504" customFormat="1" ht="14.25" x14ac:dyDescent="0.2">
      <c r="A9" s="500">
        <v>709</v>
      </c>
      <c r="B9" s="500">
        <v>0</v>
      </c>
      <c r="C9" s="500" t="s">
        <v>834</v>
      </c>
      <c r="D9" s="500" t="s">
        <v>835</v>
      </c>
      <c r="E9" s="500" t="s">
        <v>836</v>
      </c>
      <c r="F9" s="500"/>
      <c r="G9" s="500" t="s">
        <v>829</v>
      </c>
      <c r="H9" s="500"/>
      <c r="I9" s="508" t="s">
        <v>187</v>
      </c>
      <c r="J9" s="501" t="s">
        <v>544</v>
      </c>
      <c r="K9" s="502">
        <v>444.24</v>
      </c>
      <c r="L9" s="502">
        <v>500</v>
      </c>
      <c r="M9" s="502">
        <v>444.24</v>
      </c>
      <c r="N9" s="502"/>
      <c r="O9" s="502">
        <v>0</v>
      </c>
      <c r="P9" s="502">
        <f t="shared" si="0"/>
        <v>500</v>
      </c>
    </row>
    <row r="10" spans="1:16" s="504" customFormat="1" ht="14.25" x14ac:dyDescent="0.2">
      <c r="A10" s="500">
        <v>710</v>
      </c>
      <c r="B10" s="500">
        <v>1</v>
      </c>
      <c r="C10" s="500" t="s">
        <v>834</v>
      </c>
      <c r="D10" s="500" t="s">
        <v>837</v>
      </c>
      <c r="E10" s="500" t="s">
        <v>836</v>
      </c>
      <c r="F10" s="500"/>
      <c r="G10" s="500" t="s">
        <v>829</v>
      </c>
      <c r="H10" s="500"/>
      <c r="I10" s="508" t="s">
        <v>187</v>
      </c>
      <c r="J10" s="501" t="s">
        <v>544</v>
      </c>
      <c r="K10" s="502">
        <v>800</v>
      </c>
      <c r="L10" s="502">
        <v>500</v>
      </c>
      <c r="M10" s="502">
        <v>800</v>
      </c>
      <c r="N10" s="502"/>
      <c r="O10" s="502">
        <v>0</v>
      </c>
      <c r="P10" s="502">
        <f t="shared" si="0"/>
        <v>500</v>
      </c>
    </row>
    <row r="11" spans="1:16" s="504" customFormat="1" ht="14.25" x14ac:dyDescent="0.2">
      <c r="A11" s="500">
        <v>710</v>
      </c>
      <c r="B11" s="500">
        <v>2</v>
      </c>
      <c r="C11" s="500" t="s">
        <v>834</v>
      </c>
      <c r="D11" s="500" t="s">
        <v>838</v>
      </c>
      <c r="E11" s="500" t="s">
        <v>805</v>
      </c>
      <c r="F11" s="500"/>
      <c r="G11" s="500" t="s">
        <v>806</v>
      </c>
      <c r="H11" s="500"/>
      <c r="I11" s="508" t="s">
        <v>187</v>
      </c>
      <c r="J11" s="501" t="s">
        <v>544</v>
      </c>
      <c r="K11" s="502">
        <v>731.93</v>
      </c>
      <c r="L11" s="502">
        <v>694.93</v>
      </c>
      <c r="M11" s="502">
        <v>731.93</v>
      </c>
      <c r="N11" s="502"/>
      <c r="O11" s="502">
        <v>0</v>
      </c>
      <c r="P11" s="502">
        <f t="shared" si="0"/>
        <v>694.93</v>
      </c>
    </row>
    <row r="12" spans="1:16" s="504" customFormat="1" ht="14.25" x14ac:dyDescent="0.2">
      <c r="A12" s="500">
        <v>180</v>
      </c>
      <c r="B12" s="500">
        <v>0</v>
      </c>
      <c r="C12" s="500" t="s">
        <v>839</v>
      </c>
      <c r="D12" s="500" t="s">
        <v>840</v>
      </c>
      <c r="E12" s="500" t="s">
        <v>805</v>
      </c>
      <c r="F12" s="500"/>
      <c r="G12" s="500" t="s">
        <v>806</v>
      </c>
      <c r="H12" s="500"/>
      <c r="I12" s="508" t="s">
        <v>187</v>
      </c>
      <c r="J12" s="501" t="s">
        <v>544</v>
      </c>
      <c r="K12" s="502">
        <v>0</v>
      </c>
      <c r="L12" s="502">
        <v>579.72</v>
      </c>
      <c r="M12" s="502">
        <v>499.82</v>
      </c>
      <c r="N12" s="502"/>
      <c r="O12" s="502">
        <v>0</v>
      </c>
      <c r="P12" s="502">
        <f t="shared" si="0"/>
        <v>79.900000000000034</v>
      </c>
    </row>
    <row r="13" spans="1:16" s="504" customFormat="1" ht="14.25" x14ac:dyDescent="0.2">
      <c r="A13" s="500">
        <v>215</v>
      </c>
      <c r="B13" s="500">
        <v>0</v>
      </c>
      <c r="C13" s="500" t="s">
        <v>841</v>
      </c>
      <c r="D13" s="500" t="s">
        <v>842</v>
      </c>
      <c r="E13" s="500" t="s">
        <v>799</v>
      </c>
      <c r="F13" s="500"/>
      <c r="G13" s="500" t="s">
        <v>843</v>
      </c>
      <c r="H13" s="500"/>
      <c r="I13" s="508" t="s">
        <v>187</v>
      </c>
      <c r="J13" s="501" t="s">
        <v>544</v>
      </c>
      <c r="K13" s="502">
        <v>0</v>
      </c>
      <c r="L13" s="502">
        <v>464.33</v>
      </c>
      <c r="M13" s="502">
        <v>329.4</v>
      </c>
      <c r="N13" s="502"/>
      <c r="O13" s="502">
        <v>0</v>
      </c>
      <c r="P13" s="502">
        <f t="shared" si="0"/>
        <v>134.93</v>
      </c>
    </row>
    <row r="14" spans="1:16" s="504" customFormat="1" ht="14.25" x14ac:dyDescent="0.2">
      <c r="A14" s="500">
        <v>40</v>
      </c>
      <c r="B14" s="500">
        <v>0</v>
      </c>
      <c r="C14" s="500" t="s">
        <v>844</v>
      </c>
      <c r="D14" s="500" t="s">
        <v>845</v>
      </c>
      <c r="E14" s="500" t="s">
        <v>799</v>
      </c>
      <c r="F14" s="500"/>
      <c r="G14" s="500" t="s">
        <v>799</v>
      </c>
      <c r="H14" s="500"/>
      <c r="I14" s="508" t="s">
        <v>187</v>
      </c>
      <c r="J14" s="501" t="s">
        <v>544</v>
      </c>
      <c r="K14" s="502">
        <v>19</v>
      </c>
      <c r="L14" s="502">
        <v>85</v>
      </c>
      <c r="M14" s="502">
        <v>19</v>
      </c>
      <c r="N14" s="502"/>
      <c r="O14" s="502">
        <v>0</v>
      </c>
      <c r="P14" s="502">
        <f t="shared" si="0"/>
        <v>85</v>
      </c>
    </row>
    <row r="15" spans="1:16" s="504" customFormat="1" ht="14.25" x14ac:dyDescent="0.2">
      <c r="A15" s="500">
        <v>890</v>
      </c>
      <c r="B15" s="500">
        <v>0</v>
      </c>
      <c r="C15" s="500" t="s">
        <v>844</v>
      </c>
      <c r="D15" s="500" t="s">
        <v>846</v>
      </c>
      <c r="E15" s="500" t="s">
        <v>847</v>
      </c>
      <c r="F15" s="500"/>
      <c r="G15" s="500" t="s">
        <v>806</v>
      </c>
      <c r="H15" s="500"/>
      <c r="I15" s="508" t="s">
        <v>187</v>
      </c>
      <c r="J15" s="501" t="s">
        <v>544</v>
      </c>
      <c r="K15" s="502">
        <v>294</v>
      </c>
      <c r="L15" s="502">
        <v>160</v>
      </c>
      <c r="M15" s="502">
        <v>294</v>
      </c>
      <c r="N15" s="502"/>
      <c r="O15" s="502">
        <v>0</v>
      </c>
      <c r="P15" s="502">
        <f t="shared" si="0"/>
        <v>160</v>
      </c>
    </row>
    <row r="16" spans="1:16" s="504" customFormat="1" ht="14.25" x14ac:dyDescent="0.2">
      <c r="A16" s="500">
        <v>530</v>
      </c>
      <c r="B16" s="500">
        <v>0</v>
      </c>
      <c r="C16" s="500" t="s">
        <v>848</v>
      </c>
      <c r="D16" s="500" t="s">
        <v>849</v>
      </c>
      <c r="E16" s="500" t="s">
        <v>850</v>
      </c>
      <c r="F16" s="500"/>
      <c r="G16" s="500" t="s">
        <v>800</v>
      </c>
      <c r="H16" s="500"/>
      <c r="I16" s="508" t="s">
        <v>187</v>
      </c>
      <c r="J16" s="501" t="s">
        <v>544</v>
      </c>
      <c r="K16" s="502">
        <v>158.04</v>
      </c>
      <c r="L16" s="502">
        <v>1046.9100000000001</v>
      </c>
      <c r="M16" s="502">
        <v>991.54</v>
      </c>
      <c r="N16" s="502"/>
      <c r="O16" s="502">
        <v>0</v>
      </c>
      <c r="P16" s="502">
        <f t="shared" si="0"/>
        <v>213.41000000000008</v>
      </c>
    </row>
    <row r="17" spans="1:21" s="504" customFormat="1" ht="14.25" x14ac:dyDescent="0.2">
      <c r="A17" s="500">
        <v>641</v>
      </c>
      <c r="B17" s="500">
        <v>0</v>
      </c>
      <c r="C17" s="500" t="s">
        <v>848</v>
      </c>
      <c r="D17" s="500" t="s">
        <v>851</v>
      </c>
      <c r="E17" s="500" t="s">
        <v>852</v>
      </c>
      <c r="F17" s="500"/>
      <c r="G17" s="500" t="s">
        <v>799</v>
      </c>
      <c r="H17" s="500"/>
      <c r="I17" s="508" t="s">
        <v>187</v>
      </c>
      <c r="J17" s="501" t="s">
        <v>544</v>
      </c>
      <c r="K17" s="502">
        <v>0</v>
      </c>
      <c r="L17" s="502">
        <v>831</v>
      </c>
      <c r="M17" s="502">
        <v>0</v>
      </c>
      <c r="N17" s="502"/>
      <c r="O17" s="502">
        <v>0</v>
      </c>
      <c r="P17" s="502">
        <f t="shared" si="0"/>
        <v>831</v>
      </c>
    </row>
    <row r="18" spans="1:21" s="504" customFormat="1" ht="14.25" x14ac:dyDescent="0.2">
      <c r="A18" s="500">
        <v>840</v>
      </c>
      <c r="B18" s="500">
        <v>0</v>
      </c>
      <c r="C18" s="500" t="s">
        <v>848</v>
      </c>
      <c r="D18" s="500" t="s">
        <v>853</v>
      </c>
      <c r="E18" s="500" t="s">
        <v>805</v>
      </c>
      <c r="F18" s="500"/>
      <c r="G18" s="500" t="s">
        <v>800</v>
      </c>
      <c r="H18" s="500"/>
      <c r="I18" s="508" t="s">
        <v>187</v>
      </c>
      <c r="J18" s="501" t="s">
        <v>544</v>
      </c>
      <c r="K18" s="502">
        <v>188.8</v>
      </c>
      <c r="L18" s="502">
        <v>334.2</v>
      </c>
      <c r="M18" s="502">
        <v>188.8</v>
      </c>
      <c r="N18" s="502"/>
      <c r="O18" s="502">
        <v>0</v>
      </c>
      <c r="P18" s="502">
        <f t="shared" si="0"/>
        <v>334.2</v>
      </c>
    </row>
    <row r="19" spans="1:21" x14ac:dyDescent="0.25">
      <c r="K19" s="205"/>
      <c r="L19" s="205"/>
      <c r="M19" s="205"/>
      <c r="N19" s="205"/>
      <c r="O19" s="205"/>
      <c r="P19" s="205"/>
      <c r="Q19" s="203" t="s">
        <v>265</v>
      </c>
      <c r="R19" s="203" t="s">
        <v>266</v>
      </c>
    </row>
    <row r="20" spans="1:21" s="207" customFormat="1" x14ac:dyDescent="0.25">
      <c r="D20" s="208" t="s">
        <v>300</v>
      </c>
      <c r="E20" s="208"/>
      <c r="F20" s="208"/>
      <c r="G20" s="208"/>
      <c r="H20" s="208"/>
      <c r="J20" s="226" t="s">
        <v>544</v>
      </c>
      <c r="K20" s="209"/>
      <c r="L20" s="210">
        <f>SUM(L3:L19)</f>
        <v>9933.2100000000009</v>
      </c>
      <c r="M20" s="209"/>
      <c r="N20" s="209"/>
      <c r="O20" s="209"/>
      <c r="P20" s="209"/>
      <c r="Q20" s="211">
        <f>'Ratei e risconti'!D20</f>
        <v>0</v>
      </c>
      <c r="R20" s="211">
        <f>'Ratei e risconti'!F20</f>
        <v>0</v>
      </c>
      <c r="S20" s="207" t="s">
        <v>210</v>
      </c>
      <c r="T20" s="322" t="s">
        <v>465</v>
      </c>
      <c r="U20" s="228">
        <f>Altre!D134</f>
        <v>0</v>
      </c>
    </row>
    <row r="21" spans="1:21" s="207" customFormat="1" x14ac:dyDescent="0.25">
      <c r="J21" s="224"/>
      <c r="K21" s="209"/>
      <c r="L21" s="209"/>
      <c r="M21" s="209"/>
      <c r="N21" s="209"/>
      <c r="O21" s="209"/>
      <c r="P21" s="209"/>
    </row>
    <row r="22" spans="1:21" s="212" customFormat="1" x14ac:dyDescent="0.25">
      <c r="J22" s="225"/>
      <c r="K22" s="213"/>
      <c r="L22" s="213"/>
      <c r="M22" s="213"/>
      <c r="N22" s="213"/>
      <c r="O22" s="213"/>
      <c r="P22" s="213"/>
    </row>
    <row r="23" spans="1:21" s="504" customFormat="1" ht="14.25" x14ac:dyDescent="0.2">
      <c r="A23" s="500">
        <v>60</v>
      </c>
      <c r="B23" s="500">
        <v>0</v>
      </c>
      <c r="C23" s="500" t="s">
        <v>854</v>
      </c>
      <c r="D23" s="500" t="s">
        <v>855</v>
      </c>
      <c r="E23" s="500" t="s">
        <v>799</v>
      </c>
      <c r="F23" s="500"/>
      <c r="G23" s="500" t="s">
        <v>799</v>
      </c>
      <c r="H23" s="500"/>
      <c r="I23" s="508" t="s">
        <v>197</v>
      </c>
      <c r="J23" s="501" t="s">
        <v>545</v>
      </c>
      <c r="K23" s="502">
        <v>1000</v>
      </c>
      <c r="L23" s="502">
        <v>30602.16</v>
      </c>
      <c r="M23" s="502">
        <v>27693.23</v>
      </c>
      <c r="N23" s="502"/>
      <c r="O23" s="502">
        <v>1000</v>
      </c>
      <c r="P23" s="502">
        <f t="shared" ref="P23:P56" si="1">K23+L23-M23+N23-O23</f>
        <v>2908.9300000000003</v>
      </c>
    </row>
    <row r="24" spans="1:21" s="504" customFormat="1" ht="14.25" x14ac:dyDescent="0.2">
      <c r="A24" s="500">
        <v>80</v>
      </c>
      <c r="B24" s="500">
        <v>0</v>
      </c>
      <c r="C24" s="500" t="s">
        <v>856</v>
      </c>
      <c r="D24" s="500" t="s">
        <v>857</v>
      </c>
      <c r="E24" s="500" t="s">
        <v>799</v>
      </c>
      <c r="F24" s="500"/>
      <c r="G24" s="500" t="s">
        <v>806</v>
      </c>
      <c r="H24" s="500"/>
      <c r="I24" s="508" t="s">
        <v>197</v>
      </c>
      <c r="J24" s="501" t="s">
        <v>545</v>
      </c>
      <c r="K24" s="502">
        <v>3152.56</v>
      </c>
      <c r="L24" s="502">
        <v>3300</v>
      </c>
      <c r="M24" s="502">
        <v>3152.56</v>
      </c>
      <c r="N24" s="502"/>
      <c r="O24" s="502">
        <v>0</v>
      </c>
      <c r="P24" s="502">
        <f t="shared" si="1"/>
        <v>3299.9999999999995</v>
      </c>
    </row>
    <row r="25" spans="1:21" s="504" customFormat="1" ht="14.25" x14ac:dyDescent="0.2">
      <c r="A25" s="500">
        <v>150</v>
      </c>
      <c r="B25" s="500">
        <v>1</v>
      </c>
      <c r="C25" s="500" t="s">
        <v>858</v>
      </c>
      <c r="D25" s="500" t="s">
        <v>859</v>
      </c>
      <c r="E25" s="500" t="s">
        <v>799</v>
      </c>
      <c r="F25" s="500"/>
      <c r="G25" s="500" t="s">
        <v>803</v>
      </c>
      <c r="H25" s="500"/>
      <c r="I25" s="508" t="s">
        <v>197</v>
      </c>
      <c r="J25" s="501" t="s">
        <v>545</v>
      </c>
      <c r="K25" s="502">
        <v>148.31</v>
      </c>
      <c r="L25" s="502">
        <v>44.28</v>
      </c>
      <c r="M25" s="502">
        <v>148.31</v>
      </c>
      <c r="N25" s="502"/>
      <c r="O25" s="502">
        <v>0</v>
      </c>
      <c r="P25" s="502">
        <f t="shared" si="1"/>
        <v>44.28</v>
      </c>
    </row>
    <row r="26" spans="1:21" s="504" customFormat="1" ht="14.25" x14ac:dyDescent="0.2">
      <c r="A26" s="500">
        <v>221</v>
      </c>
      <c r="B26" s="500">
        <v>0</v>
      </c>
      <c r="C26" s="500" t="s">
        <v>860</v>
      </c>
      <c r="D26" s="500" t="s">
        <v>861</v>
      </c>
      <c r="E26" s="500" t="s">
        <v>799</v>
      </c>
      <c r="F26" s="500"/>
      <c r="G26" s="500" t="s">
        <v>800</v>
      </c>
      <c r="H26" s="500"/>
      <c r="I26" s="508" t="s">
        <v>187</v>
      </c>
      <c r="J26" s="501" t="s">
        <v>545</v>
      </c>
      <c r="K26" s="502">
        <v>170.8</v>
      </c>
      <c r="L26" s="502">
        <v>170.8</v>
      </c>
      <c r="M26" s="502">
        <v>256.2</v>
      </c>
      <c r="N26" s="502"/>
      <c r="O26" s="502">
        <v>0</v>
      </c>
      <c r="P26" s="502">
        <f t="shared" si="1"/>
        <v>85.400000000000034</v>
      </c>
    </row>
    <row r="27" spans="1:21" s="504" customFormat="1" ht="14.25" x14ac:dyDescent="0.2">
      <c r="A27" s="500">
        <v>230</v>
      </c>
      <c r="B27" s="500">
        <v>0</v>
      </c>
      <c r="C27" s="500" t="s">
        <v>862</v>
      </c>
      <c r="D27" s="500" t="s">
        <v>863</v>
      </c>
      <c r="E27" s="500" t="s">
        <v>799</v>
      </c>
      <c r="F27" s="500"/>
      <c r="G27" s="500" t="s">
        <v>800</v>
      </c>
      <c r="H27" s="500"/>
      <c r="I27" s="508" t="s">
        <v>187</v>
      </c>
      <c r="J27" s="501" t="s">
        <v>545</v>
      </c>
      <c r="K27" s="502">
        <v>235.81</v>
      </c>
      <c r="L27" s="502">
        <v>3548.34</v>
      </c>
      <c r="M27" s="502">
        <v>3530.88</v>
      </c>
      <c r="N27" s="502"/>
      <c r="O27" s="502">
        <v>0</v>
      </c>
      <c r="P27" s="502">
        <f t="shared" si="1"/>
        <v>253.26999999999998</v>
      </c>
    </row>
    <row r="28" spans="1:21" s="504" customFormat="1" ht="14.25" x14ac:dyDescent="0.2">
      <c r="A28" s="500">
        <v>490</v>
      </c>
      <c r="B28" s="500">
        <v>5</v>
      </c>
      <c r="C28" s="500" t="s">
        <v>862</v>
      </c>
      <c r="D28" s="500" t="s">
        <v>864</v>
      </c>
      <c r="E28" s="500" t="s">
        <v>850</v>
      </c>
      <c r="F28" s="500"/>
      <c r="G28" s="500" t="s">
        <v>800</v>
      </c>
      <c r="H28" s="500"/>
      <c r="I28" s="508" t="s">
        <v>187</v>
      </c>
      <c r="J28" s="501" t="s">
        <v>545</v>
      </c>
      <c r="K28" s="502">
        <v>400</v>
      </c>
      <c r="L28" s="502">
        <v>856.1</v>
      </c>
      <c r="M28" s="502">
        <v>1256.0999999999999</v>
      </c>
      <c r="N28" s="502"/>
      <c r="O28" s="502">
        <v>0</v>
      </c>
      <c r="P28" s="502">
        <f t="shared" si="1"/>
        <v>0</v>
      </c>
    </row>
    <row r="29" spans="1:21" s="504" customFormat="1" ht="14.25" x14ac:dyDescent="0.2">
      <c r="A29" s="500">
        <v>230</v>
      </c>
      <c r="B29" s="500">
        <v>1</v>
      </c>
      <c r="C29" s="500" t="s">
        <v>865</v>
      </c>
      <c r="D29" s="500" t="s">
        <v>866</v>
      </c>
      <c r="E29" s="500" t="s">
        <v>799</v>
      </c>
      <c r="F29" s="500"/>
      <c r="G29" s="500" t="s">
        <v>800</v>
      </c>
      <c r="H29" s="500"/>
      <c r="I29" s="508" t="s">
        <v>187</v>
      </c>
      <c r="J29" s="501" t="s">
        <v>545</v>
      </c>
      <c r="K29" s="502">
        <v>282.82</v>
      </c>
      <c r="L29" s="502">
        <v>7348</v>
      </c>
      <c r="M29" s="502">
        <v>6963.28</v>
      </c>
      <c r="N29" s="502"/>
      <c r="O29" s="502">
        <v>0</v>
      </c>
      <c r="P29" s="502">
        <f t="shared" si="1"/>
        <v>667.54</v>
      </c>
    </row>
    <row r="30" spans="1:21" s="504" customFormat="1" ht="14.25" x14ac:dyDescent="0.2">
      <c r="A30" s="500">
        <v>490</v>
      </c>
      <c r="B30" s="500">
        <v>0</v>
      </c>
      <c r="C30" s="500" t="s">
        <v>865</v>
      </c>
      <c r="D30" s="500" t="s">
        <v>867</v>
      </c>
      <c r="E30" s="500" t="s">
        <v>850</v>
      </c>
      <c r="F30" s="500"/>
      <c r="G30" s="500" t="s">
        <v>800</v>
      </c>
      <c r="H30" s="500"/>
      <c r="I30" s="508" t="s">
        <v>187</v>
      </c>
      <c r="J30" s="501" t="s">
        <v>545</v>
      </c>
      <c r="K30" s="502">
        <v>396.75</v>
      </c>
      <c r="L30" s="502">
        <v>2967.88</v>
      </c>
      <c r="M30" s="502">
        <v>3101.2</v>
      </c>
      <c r="N30" s="502"/>
      <c r="O30" s="502">
        <v>0</v>
      </c>
      <c r="P30" s="502">
        <f t="shared" si="1"/>
        <v>263.43000000000029</v>
      </c>
    </row>
    <row r="31" spans="1:21" s="504" customFormat="1" ht="14.25" x14ac:dyDescent="0.2">
      <c r="A31" s="500">
        <v>950</v>
      </c>
      <c r="B31" s="500">
        <v>0</v>
      </c>
      <c r="C31" s="500" t="s">
        <v>865</v>
      </c>
      <c r="D31" s="500" t="s">
        <v>868</v>
      </c>
      <c r="E31" s="500" t="s">
        <v>847</v>
      </c>
      <c r="F31" s="500"/>
      <c r="G31" s="500" t="s">
        <v>805</v>
      </c>
      <c r="H31" s="500"/>
      <c r="I31" s="508" t="s">
        <v>187</v>
      </c>
      <c r="J31" s="501" t="s">
        <v>545</v>
      </c>
      <c r="K31" s="502">
        <v>148.47999999999999</v>
      </c>
      <c r="L31" s="502">
        <v>836.59</v>
      </c>
      <c r="M31" s="502">
        <v>919.76</v>
      </c>
      <c r="N31" s="502"/>
      <c r="O31" s="502">
        <v>0</v>
      </c>
      <c r="P31" s="502">
        <f t="shared" si="1"/>
        <v>65.310000000000059</v>
      </c>
    </row>
    <row r="32" spans="1:21" s="504" customFormat="1" ht="14.25" x14ac:dyDescent="0.2">
      <c r="A32" s="500">
        <v>230</v>
      </c>
      <c r="B32" s="500">
        <v>4</v>
      </c>
      <c r="C32" s="500" t="s">
        <v>869</v>
      </c>
      <c r="D32" s="500" t="s">
        <v>870</v>
      </c>
      <c r="E32" s="500" t="s">
        <v>799</v>
      </c>
      <c r="F32" s="500"/>
      <c r="G32" s="500" t="s">
        <v>800</v>
      </c>
      <c r="H32" s="500"/>
      <c r="I32" s="508" t="s">
        <v>187</v>
      </c>
      <c r="J32" s="501" t="s">
        <v>545</v>
      </c>
      <c r="K32" s="502">
        <v>47.18</v>
      </c>
      <c r="L32" s="502">
        <v>436.73</v>
      </c>
      <c r="M32" s="502">
        <v>417.69</v>
      </c>
      <c r="N32" s="502"/>
      <c r="O32" s="502">
        <v>0</v>
      </c>
      <c r="P32" s="502">
        <f t="shared" si="1"/>
        <v>66.220000000000027</v>
      </c>
    </row>
    <row r="33" spans="1:16" s="504" customFormat="1" ht="14.25" x14ac:dyDescent="0.2">
      <c r="A33" s="500">
        <v>490</v>
      </c>
      <c r="B33" s="500">
        <v>2</v>
      </c>
      <c r="C33" s="500" t="s">
        <v>869</v>
      </c>
      <c r="D33" s="500" t="s">
        <v>871</v>
      </c>
      <c r="E33" s="500" t="s">
        <v>850</v>
      </c>
      <c r="F33" s="500"/>
      <c r="G33" s="500" t="s">
        <v>800</v>
      </c>
      <c r="H33" s="500"/>
      <c r="I33" s="508" t="s">
        <v>187</v>
      </c>
      <c r="J33" s="501" t="s">
        <v>545</v>
      </c>
      <c r="K33" s="502">
        <v>0</v>
      </c>
      <c r="L33" s="502">
        <v>200</v>
      </c>
      <c r="M33" s="502">
        <v>0</v>
      </c>
      <c r="N33" s="502"/>
      <c r="O33" s="502">
        <v>0</v>
      </c>
      <c r="P33" s="502">
        <f t="shared" si="1"/>
        <v>200</v>
      </c>
    </row>
    <row r="34" spans="1:16" s="504" customFormat="1" ht="14.25" x14ac:dyDescent="0.2">
      <c r="A34" s="500">
        <v>650</v>
      </c>
      <c r="B34" s="500">
        <v>0</v>
      </c>
      <c r="C34" s="500" t="s">
        <v>869</v>
      </c>
      <c r="D34" s="500" t="s">
        <v>872</v>
      </c>
      <c r="E34" s="500" t="s">
        <v>852</v>
      </c>
      <c r="F34" s="500"/>
      <c r="G34" s="500" t="s">
        <v>799</v>
      </c>
      <c r="H34" s="500"/>
      <c r="I34" s="508" t="s">
        <v>187</v>
      </c>
      <c r="J34" s="501" t="s">
        <v>545</v>
      </c>
      <c r="K34" s="502">
        <v>295.76</v>
      </c>
      <c r="L34" s="502">
        <v>3499.8</v>
      </c>
      <c r="M34" s="502">
        <v>3583.97</v>
      </c>
      <c r="N34" s="502"/>
      <c r="O34" s="502">
        <v>0</v>
      </c>
      <c r="P34" s="502">
        <f t="shared" si="1"/>
        <v>211.5900000000006</v>
      </c>
    </row>
    <row r="35" spans="1:16" s="504" customFormat="1" ht="14.25" x14ac:dyDescent="0.2">
      <c r="A35" s="500">
        <v>230</v>
      </c>
      <c r="B35" s="500">
        <v>2</v>
      </c>
      <c r="C35" s="500" t="s">
        <v>873</v>
      </c>
      <c r="D35" s="500" t="s">
        <v>874</v>
      </c>
      <c r="E35" s="500" t="s">
        <v>799</v>
      </c>
      <c r="F35" s="500"/>
      <c r="G35" s="500" t="s">
        <v>800</v>
      </c>
      <c r="H35" s="500"/>
      <c r="I35" s="508" t="s">
        <v>187</v>
      </c>
      <c r="J35" s="501" t="s">
        <v>545</v>
      </c>
      <c r="K35" s="502">
        <v>579.11</v>
      </c>
      <c r="L35" s="502">
        <v>5083.18</v>
      </c>
      <c r="M35" s="502">
        <v>5363.68</v>
      </c>
      <c r="N35" s="502"/>
      <c r="O35" s="502">
        <v>0</v>
      </c>
      <c r="P35" s="502">
        <f t="shared" si="1"/>
        <v>298.60999999999967</v>
      </c>
    </row>
    <row r="36" spans="1:16" s="504" customFormat="1" ht="14.25" x14ac:dyDescent="0.2">
      <c r="A36" s="500">
        <v>490</v>
      </c>
      <c r="B36" s="500">
        <v>1</v>
      </c>
      <c r="C36" s="500" t="s">
        <v>873</v>
      </c>
      <c r="D36" s="500" t="s">
        <v>875</v>
      </c>
      <c r="E36" s="500" t="s">
        <v>850</v>
      </c>
      <c r="F36" s="500"/>
      <c r="G36" s="500" t="s">
        <v>800</v>
      </c>
      <c r="H36" s="500"/>
      <c r="I36" s="508" t="s">
        <v>187</v>
      </c>
      <c r="J36" s="501" t="s">
        <v>545</v>
      </c>
      <c r="K36" s="502">
        <v>0</v>
      </c>
      <c r="L36" s="502">
        <v>1874.56</v>
      </c>
      <c r="M36" s="502">
        <v>1454.44</v>
      </c>
      <c r="N36" s="502"/>
      <c r="O36" s="502">
        <v>0</v>
      </c>
      <c r="P36" s="502">
        <f t="shared" si="1"/>
        <v>420.11999999999989</v>
      </c>
    </row>
    <row r="37" spans="1:16" s="504" customFormat="1" ht="14.25" x14ac:dyDescent="0.2">
      <c r="A37" s="500">
        <v>710</v>
      </c>
      <c r="B37" s="500">
        <v>0</v>
      </c>
      <c r="C37" s="500" t="s">
        <v>880</v>
      </c>
      <c r="D37" s="500" t="s">
        <v>881</v>
      </c>
      <c r="E37" s="500" t="s">
        <v>836</v>
      </c>
      <c r="F37" s="500"/>
      <c r="G37" s="500" t="s">
        <v>829</v>
      </c>
      <c r="H37" s="500"/>
      <c r="I37" s="508" t="s">
        <v>187</v>
      </c>
      <c r="J37" s="501" t="s">
        <v>545</v>
      </c>
      <c r="K37" s="502">
        <v>571</v>
      </c>
      <c r="L37" s="502">
        <v>523.02</v>
      </c>
      <c r="M37" s="502">
        <v>875.02</v>
      </c>
      <c r="N37" s="502"/>
      <c r="O37" s="502">
        <v>0</v>
      </c>
      <c r="P37" s="502">
        <f t="shared" si="1"/>
        <v>219</v>
      </c>
    </row>
    <row r="38" spans="1:16" s="504" customFormat="1" ht="14.25" x14ac:dyDescent="0.2">
      <c r="A38" s="500">
        <v>390</v>
      </c>
      <c r="B38" s="500">
        <v>0</v>
      </c>
      <c r="C38" s="500" t="s">
        <v>882</v>
      </c>
      <c r="D38" s="500" t="s">
        <v>883</v>
      </c>
      <c r="E38" s="500" t="s">
        <v>850</v>
      </c>
      <c r="F38" s="500"/>
      <c r="G38" s="500" t="s">
        <v>800</v>
      </c>
      <c r="H38" s="500"/>
      <c r="I38" s="508" t="s">
        <v>187</v>
      </c>
      <c r="J38" s="501" t="s">
        <v>545</v>
      </c>
      <c r="K38" s="502">
        <v>5306.2</v>
      </c>
      <c r="L38" s="502">
        <v>4861.12</v>
      </c>
      <c r="M38" s="502">
        <v>9286.9699999999993</v>
      </c>
      <c r="N38" s="502"/>
      <c r="O38" s="502">
        <v>0.5</v>
      </c>
      <c r="P38" s="502">
        <f t="shared" si="1"/>
        <v>879.85000000000036</v>
      </c>
    </row>
    <row r="39" spans="1:16" s="504" customFormat="1" ht="14.25" x14ac:dyDescent="0.2">
      <c r="A39" s="500">
        <v>690</v>
      </c>
      <c r="B39" s="500">
        <v>0</v>
      </c>
      <c r="C39" s="500" t="s">
        <v>884</v>
      </c>
      <c r="D39" s="500" t="s">
        <v>885</v>
      </c>
      <c r="E39" s="500" t="s">
        <v>836</v>
      </c>
      <c r="F39" s="500"/>
      <c r="G39" s="500" t="s">
        <v>829</v>
      </c>
      <c r="H39" s="500"/>
      <c r="I39" s="508" t="s">
        <v>187</v>
      </c>
      <c r="J39" s="501" t="s">
        <v>545</v>
      </c>
      <c r="K39" s="502">
        <v>336.65</v>
      </c>
      <c r="L39" s="502">
        <v>1362.07</v>
      </c>
      <c r="M39" s="502">
        <v>1359.57</v>
      </c>
      <c r="N39" s="502"/>
      <c r="O39" s="502">
        <v>0</v>
      </c>
      <c r="P39" s="502">
        <f t="shared" si="1"/>
        <v>339.14999999999986</v>
      </c>
    </row>
    <row r="40" spans="1:16" s="504" customFormat="1" ht="14.25" x14ac:dyDescent="0.2">
      <c r="A40" s="500">
        <v>85</v>
      </c>
      <c r="B40" s="500">
        <v>0</v>
      </c>
      <c r="C40" s="500" t="s">
        <v>886</v>
      </c>
      <c r="D40" s="500" t="s">
        <v>887</v>
      </c>
      <c r="E40" s="500" t="s">
        <v>843</v>
      </c>
      <c r="F40" s="500"/>
      <c r="G40" s="500" t="s">
        <v>799</v>
      </c>
      <c r="H40" s="500"/>
      <c r="I40" s="508" t="s">
        <v>197</v>
      </c>
      <c r="J40" s="501" t="s">
        <v>545</v>
      </c>
      <c r="K40" s="502">
        <v>1489.32</v>
      </c>
      <c r="L40" s="502">
        <v>5923.06</v>
      </c>
      <c r="M40" s="502">
        <v>5897.58</v>
      </c>
      <c r="N40" s="502"/>
      <c r="O40" s="502">
        <v>0</v>
      </c>
      <c r="P40" s="502">
        <f t="shared" si="1"/>
        <v>1514.8000000000002</v>
      </c>
    </row>
    <row r="41" spans="1:16" s="504" customFormat="1" ht="14.25" x14ac:dyDescent="0.2">
      <c r="A41" s="500">
        <v>420</v>
      </c>
      <c r="B41" s="500">
        <v>0</v>
      </c>
      <c r="C41" s="500" t="s">
        <v>888</v>
      </c>
      <c r="D41" s="500" t="s">
        <v>889</v>
      </c>
      <c r="E41" s="500" t="s">
        <v>843</v>
      </c>
      <c r="F41" s="500"/>
      <c r="G41" s="500" t="s">
        <v>799</v>
      </c>
      <c r="H41" s="500"/>
      <c r="I41" s="508" t="s">
        <v>197</v>
      </c>
      <c r="J41" s="501" t="s">
        <v>545</v>
      </c>
      <c r="K41" s="502">
        <v>0</v>
      </c>
      <c r="L41" s="502">
        <v>11000</v>
      </c>
      <c r="M41" s="502">
        <v>9477.44</v>
      </c>
      <c r="N41" s="502"/>
      <c r="O41" s="502">
        <v>0</v>
      </c>
      <c r="P41" s="502">
        <f t="shared" si="1"/>
        <v>1522.5599999999995</v>
      </c>
    </row>
    <row r="42" spans="1:16" s="504" customFormat="1" ht="14.25" x14ac:dyDescent="0.2">
      <c r="A42" s="500">
        <v>614</v>
      </c>
      <c r="B42" s="500">
        <v>0</v>
      </c>
      <c r="C42" s="500" t="s">
        <v>888</v>
      </c>
      <c r="D42" s="500" t="s">
        <v>890</v>
      </c>
      <c r="E42" s="500" t="s">
        <v>829</v>
      </c>
      <c r="F42" s="500"/>
      <c r="G42" s="500" t="s">
        <v>800</v>
      </c>
      <c r="H42" s="500"/>
      <c r="I42" s="508" t="s">
        <v>197</v>
      </c>
      <c r="J42" s="501" t="s">
        <v>545</v>
      </c>
      <c r="K42" s="502">
        <v>1976</v>
      </c>
      <c r="L42" s="502">
        <v>7698.14</v>
      </c>
      <c r="M42" s="502">
        <v>1976</v>
      </c>
      <c r="N42" s="502"/>
      <c r="O42" s="502">
        <v>0</v>
      </c>
      <c r="P42" s="502">
        <f t="shared" si="1"/>
        <v>7698.1399999999994</v>
      </c>
    </row>
    <row r="43" spans="1:16" s="504" customFormat="1" ht="14.25" x14ac:dyDescent="0.2">
      <c r="A43" s="500">
        <v>230</v>
      </c>
      <c r="B43" s="500">
        <v>11</v>
      </c>
      <c r="C43" s="500" t="s">
        <v>891</v>
      </c>
      <c r="D43" s="500" t="s">
        <v>892</v>
      </c>
      <c r="E43" s="500" t="s">
        <v>799</v>
      </c>
      <c r="F43" s="500"/>
      <c r="G43" s="500" t="s">
        <v>826</v>
      </c>
      <c r="H43" s="500"/>
      <c r="I43" s="508" t="s">
        <v>187</v>
      </c>
      <c r="J43" s="501" t="s">
        <v>545</v>
      </c>
      <c r="K43" s="502">
        <v>488</v>
      </c>
      <c r="L43" s="502">
        <v>7844.6</v>
      </c>
      <c r="M43" s="502">
        <v>7673.8</v>
      </c>
      <c r="N43" s="502"/>
      <c r="O43" s="502">
        <v>0</v>
      </c>
      <c r="P43" s="502">
        <f t="shared" si="1"/>
        <v>658.80000000000018</v>
      </c>
    </row>
    <row r="44" spans="1:16" s="504" customFormat="1" ht="14.25" x14ac:dyDescent="0.2">
      <c r="A44" s="500">
        <v>586</v>
      </c>
      <c r="B44" s="500">
        <v>0</v>
      </c>
      <c r="C44" s="500" t="s">
        <v>893</v>
      </c>
      <c r="D44" s="500" t="s">
        <v>894</v>
      </c>
      <c r="E44" s="500" t="s">
        <v>850</v>
      </c>
      <c r="F44" s="500"/>
      <c r="G44" s="500" t="s">
        <v>852</v>
      </c>
      <c r="H44" s="500"/>
      <c r="I44" s="508" t="s">
        <v>187</v>
      </c>
      <c r="J44" s="501" t="s">
        <v>545</v>
      </c>
      <c r="K44" s="502">
        <v>545.6</v>
      </c>
      <c r="L44" s="502">
        <v>12467.4</v>
      </c>
      <c r="M44" s="502">
        <v>11814</v>
      </c>
      <c r="N44" s="502"/>
      <c r="O44" s="502">
        <v>0</v>
      </c>
      <c r="P44" s="502">
        <f t="shared" si="1"/>
        <v>1199</v>
      </c>
    </row>
    <row r="45" spans="1:16" s="504" customFormat="1" ht="14.25" x14ac:dyDescent="0.2">
      <c r="A45" s="500">
        <v>800</v>
      </c>
      <c r="B45" s="500">
        <v>0</v>
      </c>
      <c r="C45" s="500" t="s">
        <v>895</v>
      </c>
      <c r="D45" s="500" t="s">
        <v>896</v>
      </c>
      <c r="E45" s="500" t="s">
        <v>805</v>
      </c>
      <c r="F45" s="500"/>
      <c r="G45" s="500" t="s">
        <v>806</v>
      </c>
      <c r="H45" s="500"/>
      <c r="I45" s="508" t="s">
        <v>187</v>
      </c>
      <c r="J45" s="501" t="s">
        <v>545</v>
      </c>
      <c r="K45" s="502">
        <v>1621.3</v>
      </c>
      <c r="L45" s="502">
        <v>17572.32</v>
      </c>
      <c r="M45" s="502">
        <v>19193.62</v>
      </c>
      <c r="N45" s="502"/>
      <c r="O45" s="502">
        <v>0</v>
      </c>
      <c r="P45" s="502">
        <f t="shared" si="1"/>
        <v>0</v>
      </c>
    </row>
    <row r="46" spans="1:16" s="504" customFormat="1" ht="14.25" x14ac:dyDescent="0.2">
      <c r="A46" s="500">
        <v>720</v>
      </c>
      <c r="B46" s="500">
        <v>0</v>
      </c>
      <c r="C46" s="500" t="s">
        <v>897</v>
      </c>
      <c r="D46" s="500" t="s">
        <v>898</v>
      </c>
      <c r="E46" s="500" t="s">
        <v>836</v>
      </c>
      <c r="F46" s="500"/>
      <c r="G46" s="500" t="s">
        <v>829</v>
      </c>
      <c r="H46" s="500"/>
      <c r="I46" s="508" t="s">
        <v>187</v>
      </c>
      <c r="J46" s="501" t="s">
        <v>545</v>
      </c>
      <c r="K46" s="502">
        <v>357.63</v>
      </c>
      <c r="L46" s="502">
        <v>27963.39</v>
      </c>
      <c r="M46" s="502">
        <v>27430.73</v>
      </c>
      <c r="N46" s="502"/>
      <c r="O46" s="502">
        <v>122.18</v>
      </c>
      <c r="P46" s="502">
        <f t="shared" si="1"/>
        <v>768.11000000000081</v>
      </c>
    </row>
    <row r="47" spans="1:16" s="504" customFormat="1" ht="14.25" x14ac:dyDescent="0.2">
      <c r="A47" s="500">
        <v>590</v>
      </c>
      <c r="B47" s="500">
        <v>0</v>
      </c>
      <c r="C47" s="500" t="s">
        <v>899</v>
      </c>
      <c r="D47" s="500" t="s">
        <v>900</v>
      </c>
      <c r="E47" s="500" t="s">
        <v>850</v>
      </c>
      <c r="F47" s="500"/>
      <c r="G47" s="500" t="s">
        <v>852</v>
      </c>
      <c r="H47" s="500"/>
      <c r="I47" s="508" t="s">
        <v>187</v>
      </c>
      <c r="J47" s="501" t="s">
        <v>545</v>
      </c>
      <c r="K47" s="502">
        <v>0</v>
      </c>
      <c r="L47" s="502">
        <v>2500</v>
      </c>
      <c r="M47" s="502">
        <v>2500</v>
      </c>
      <c r="N47" s="502"/>
      <c r="O47" s="502">
        <v>0</v>
      </c>
      <c r="P47" s="502">
        <f t="shared" si="1"/>
        <v>0</v>
      </c>
    </row>
    <row r="48" spans="1:16" s="504" customFormat="1" ht="14.25" x14ac:dyDescent="0.2">
      <c r="A48" s="500">
        <v>700</v>
      </c>
      <c r="B48" s="500">
        <v>0</v>
      </c>
      <c r="C48" s="500" t="s">
        <v>899</v>
      </c>
      <c r="D48" s="500" t="s">
        <v>901</v>
      </c>
      <c r="E48" s="500" t="s">
        <v>836</v>
      </c>
      <c r="F48" s="500"/>
      <c r="G48" s="500" t="s">
        <v>829</v>
      </c>
      <c r="H48" s="500"/>
      <c r="I48" s="508" t="s">
        <v>187</v>
      </c>
      <c r="J48" s="501" t="s">
        <v>545</v>
      </c>
      <c r="K48" s="502">
        <v>4000</v>
      </c>
      <c r="L48" s="502">
        <v>1000</v>
      </c>
      <c r="M48" s="502">
        <v>4000</v>
      </c>
      <c r="N48" s="502"/>
      <c r="O48" s="502">
        <v>0</v>
      </c>
      <c r="P48" s="502">
        <f t="shared" si="1"/>
        <v>1000</v>
      </c>
    </row>
    <row r="49" spans="1:21" s="504" customFormat="1" ht="14.25" x14ac:dyDescent="0.2">
      <c r="A49" s="500">
        <v>230</v>
      </c>
      <c r="B49" s="500">
        <v>3</v>
      </c>
      <c r="C49" s="500" t="s">
        <v>902</v>
      </c>
      <c r="D49" s="500" t="s">
        <v>903</v>
      </c>
      <c r="E49" s="500" t="s">
        <v>799</v>
      </c>
      <c r="F49" s="500"/>
      <c r="G49" s="500" t="s">
        <v>800</v>
      </c>
      <c r="H49" s="500"/>
      <c r="I49" s="508" t="s">
        <v>197</v>
      </c>
      <c r="J49" s="501" t="s">
        <v>545</v>
      </c>
      <c r="K49" s="502">
        <v>82.75</v>
      </c>
      <c r="L49" s="502">
        <v>387.8</v>
      </c>
      <c r="M49" s="502">
        <v>82.75</v>
      </c>
      <c r="N49" s="502"/>
      <c r="O49" s="502">
        <v>0</v>
      </c>
      <c r="P49" s="502">
        <f t="shared" si="1"/>
        <v>387.8</v>
      </c>
    </row>
    <row r="50" spans="1:21" s="504" customFormat="1" ht="14.25" x14ac:dyDescent="0.2">
      <c r="A50" s="500">
        <v>300</v>
      </c>
      <c r="B50" s="500">
        <v>0</v>
      </c>
      <c r="C50" s="500" t="s">
        <v>904</v>
      </c>
      <c r="D50" s="500" t="s">
        <v>905</v>
      </c>
      <c r="E50" s="500" t="s">
        <v>799</v>
      </c>
      <c r="F50" s="500"/>
      <c r="G50" s="500" t="s">
        <v>806</v>
      </c>
      <c r="H50" s="500"/>
      <c r="I50" s="508" t="s">
        <v>197</v>
      </c>
      <c r="J50" s="501" t="s">
        <v>545</v>
      </c>
      <c r="K50" s="502">
        <v>1017.22</v>
      </c>
      <c r="L50" s="502">
        <v>1683.21</v>
      </c>
      <c r="M50" s="502">
        <v>1138.03</v>
      </c>
      <c r="N50" s="502"/>
      <c r="O50" s="502">
        <v>16</v>
      </c>
      <c r="P50" s="502">
        <f t="shared" si="1"/>
        <v>1546.4000000000003</v>
      </c>
    </row>
    <row r="51" spans="1:21" s="504" customFormat="1" ht="14.25" x14ac:dyDescent="0.2">
      <c r="A51" s="500">
        <v>219</v>
      </c>
      <c r="B51" s="500">
        <v>0</v>
      </c>
      <c r="C51" s="500" t="s">
        <v>906</v>
      </c>
      <c r="D51" s="500" t="s">
        <v>907</v>
      </c>
      <c r="E51" s="500" t="s">
        <v>799</v>
      </c>
      <c r="F51" s="500"/>
      <c r="G51" s="500" t="s">
        <v>843</v>
      </c>
      <c r="H51" s="500"/>
      <c r="I51" s="508" t="s">
        <v>187</v>
      </c>
      <c r="J51" s="501" t="s">
        <v>545</v>
      </c>
      <c r="K51" s="502">
        <v>1350.64</v>
      </c>
      <c r="L51" s="502">
        <v>2781.6</v>
      </c>
      <c r="M51" s="502">
        <v>2223.4499999999998</v>
      </c>
      <c r="N51" s="502"/>
      <c r="O51" s="502">
        <v>42.19</v>
      </c>
      <c r="P51" s="502">
        <f t="shared" si="1"/>
        <v>1866.6</v>
      </c>
    </row>
    <row r="52" spans="1:21" s="504" customFormat="1" ht="14.25" x14ac:dyDescent="0.2">
      <c r="A52" s="500">
        <v>220</v>
      </c>
      <c r="B52" s="500">
        <v>0</v>
      </c>
      <c r="C52" s="500" t="s">
        <v>906</v>
      </c>
      <c r="D52" s="500" t="s">
        <v>908</v>
      </c>
      <c r="E52" s="500" t="s">
        <v>799</v>
      </c>
      <c r="F52" s="500"/>
      <c r="G52" s="500" t="s">
        <v>843</v>
      </c>
      <c r="H52" s="500"/>
      <c r="I52" s="508" t="s">
        <v>187</v>
      </c>
      <c r="J52" s="501" t="s">
        <v>545</v>
      </c>
      <c r="K52" s="502">
        <v>0</v>
      </c>
      <c r="L52" s="502">
        <v>31164.65</v>
      </c>
      <c r="M52" s="502">
        <v>27510.3</v>
      </c>
      <c r="N52" s="502"/>
      <c r="O52" s="502">
        <v>0</v>
      </c>
      <c r="P52" s="502">
        <f t="shared" si="1"/>
        <v>3654.3500000000022</v>
      </c>
    </row>
    <row r="53" spans="1:21" s="504" customFormat="1" ht="14.25" x14ac:dyDescent="0.2">
      <c r="A53" s="500">
        <v>225</v>
      </c>
      <c r="B53" s="500">
        <v>0</v>
      </c>
      <c r="C53" s="500" t="s">
        <v>906</v>
      </c>
      <c r="D53" s="500" t="s">
        <v>909</v>
      </c>
      <c r="E53" s="500" t="s">
        <v>799</v>
      </c>
      <c r="F53" s="500"/>
      <c r="G53" s="500" t="s">
        <v>800</v>
      </c>
      <c r="H53" s="500"/>
      <c r="I53" s="508" t="s">
        <v>187</v>
      </c>
      <c r="J53" s="501" t="s">
        <v>545</v>
      </c>
      <c r="K53" s="502">
        <v>0</v>
      </c>
      <c r="L53" s="502">
        <v>4636</v>
      </c>
      <c r="M53" s="502">
        <v>4636</v>
      </c>
      <c r="N53" s="502"/>
      <c r="O53" s="502">
        <v>0</v>
      </c>
      <c r="P53" s="502">
        <f t="shared" si="1"/>
        <v>0</v>
      </c>
    </row>
    <row r="54" spans="1:21" s="504" customFormat="1" ht="14.25" x14ac:dyDescent="0.2">
      <c r="A54" s="500">
        <v>230</v>
      </c>
      <c r="B54" s="500">
        <v>6</v>
      </c>
      <c r="C54" s="500" t="s">
        <v>906</v>
      </c>
      <c r="D54" s="500" t="s">
        <v>910</v>
      </c>
      <c r="E54" s="500" t="s">
        <v>799</v>
      </c>
      <c r="F54" s="500"/>
      <c r="G54" s="500" t="s">
        <v>836</v>
      </c>
      <c r="H54" s="500"/>
      <c r="I54" s="508" t="s">
        <v>187</v>
      </c>
      <c r="J54" s="501" t="s">
        <v>545</v>
      </c>
      <c r="K54" s="502">
        <v>527.04</v>
      </c>
      <c r="L54" s="502">
        <v>824.72</v>
      </c>
      <c r="M54" s="502">
        <v>1351.76</v>
      </c>
      <c r="N54" s="502"/>
      <c r="O54" s="502">
        <v>0</v>
      </c>
      <c r="P54" s="502">
        <f t="shared" si="1"/>
        <v>0</v>
      </c>
    </row>
    <row r="55" spans="1:21" s="504" customFormat="1" ht="14.25" x14ac:dyDescent="0.2">
      <c r="A55" s="500">
        <v>716</v>
      </c>
      <c r="B55" s="500">
        <v>0</v>
      </c>
      <c r="C55" s="500" t="s">
        <v>911</v>
      </c>
      <c r="D55" s="500" t="s">
        <v>912</v>
      </c>
      <c r="E55" s="500" t="s">
        <v>847</v>
      </c>
      <c r="F55" s="500"/>
      <c r="G55" s="500" t="s">
        <v>829</v>
      </c>
      <c r="H55" s="500"/>
      <c r="I55" s="508" t="s">
        <v>197</v>
      </c>
      <c r="J55" s="501" t="s">
        <v>545</v>
      </c>
      <c r="K55" s="502">
        <v>38.5</v>
      </c>
      <c r="L55" s="502">
        <v>707.7</v>
      </c>
      <c r="M55" s="502">
        <v>560.76</v>
      </c>
      <c r="N55" s="502"/>
      <c r="O55" s="502">
        <v>0</v>
      </c>
      <c r="P55" s="502">
        <f t="shared" si="1"/>
        <v>185.44000000000005</v>
      </c>
    </row>
    <row r="56" spans="1:21" s="504" customFormat="1" ht="14.25" x14ac:dyDescent="0.2">
      <c r="A56" s="500">
        <v>885</v>
      </c>
      <c r="B56" s="500">
        <v>0</v>
      </c>
      <c r="C56" s="500" t="s">
        <v>911</v>
      </c>
      <c r="D56" s="500" t="s">
        <v>913</v>
      </c>
      <c r="E56" s="500" t="s">
        <v>847</v>
      </c>
      <c r="F56" s="500"/>
      <c r="G56" s="500" t="s">
        <v>829</v>
      </c>
      <c r="H56" s="500"/>
      <c r="I56" s="508" t="s">
        <v>197</v>
      </c>
      <c r="J56" s="501" t="s">
        <v>545</v>
      </c>
      <c r="K56" s="502">
        <v>1089</v>
      </c>
      <c r="L56" s="502">
        <v>1683</v>
      </c>
      <c r="M56" s="502">
        <v>1089</v>
      </c>
      <c r="N56" s="502"/>
      <c r="O56" s="502">
        <v>0</v>
      </c>
      <c r="P56" s="502">
        <f t="shared" si="1"/>
        <v>1683</v>
      </c>
    </row>
    <row r="57" spans="1:21" s="207" customFormat="1" x14ac:dyDescent="0.25">
      <c r="J57" s="224"/>
      <c r="K57" s="209"/>
      <c r="L57" s="209"/>
      <c r="M57" s="209"/>
      <c r="N57" s="209"/>
      <c r="O57" s="209"/>
      <c r="P57" s="209"/>
      <c r="Q57" s="207" t="s">
        <v>466</v>
      </c>
      <c r="R57" s="207" t="s">
        <v>266</v>
      </c>
    </row>
    <row r="58" spans="1:21" s="207" customFormat="1" x14ac:dyDescent="0.25">
      <c r="D58" s="214" t="s">
        <v>301</v>
      </c>
      <c r="E58" s="214"/>
      <c r="F58" s="214"/>
      <c r="G58" s="214"/>
      <c r="H58" s="214"/>
      <c r="J58" s="226" t="s">
        <v>545</v>
      </c>
      <c r="K58" s="209"/>
      <c r="L58" s="210">
        <f>SUM(L21:L57)</f>
        <v>205352.21999999997</v>
      </c>
      <c r="M58" s="209"/>
      <c r="N58" s="209"/>
      <c r="O58" s="209"/>
      <c r="P58" s="209"/>
      <c r="Q58" s="211">
        <f>'Ratei e risconti'!D21</f>
        <v>0</v>
      </c>
      <c r="R58" s="211">
        <f>'Ratei e risconti'!F21</f>
        <v>0</v>
      </c>
      <c r="S58" s="207" t="s">
        <v>210</v>
      </c>
      <c r="T58" s="322" t="s">
        <v>465</v>
      </c>
      <c r="U58" s="228">
        <f>Altre!D135</f>
        <v>165</v>
      </c>
    </row>
    <row r="59" spans="1:21" s="207" customFormat="1" x14ac:dyDescent="0.25">
      <c r="J59" s="224"/>
      <c r="K59" s="209"/>
      <c r="L59" s="209"/>
      <c r="M59" s="209"/>
      <c r="N59" s="209"/>
      <c r="O59" s="209"/>
      <c r="P59" s="209"/>
    </row>
    <row r="60" spans="1:21" s="207" customFormat="1" x14ac:dyDescent="0.25">
      <c r="J60" s="224"/>
      <c r="K60" s="209"/>
      <c r="L60" s="209"/>
      <c r="M60" s="209"/>
      <c r="N60" s="209"/>
      <c r="O60" s="209"/>
      <c r="P60" s="209"/>
    </row>
    <row r="61" spans="1:21" s="504" customFormat="1" ht="14.25" x14ac:dyDescent="0.2">
      <c r="A61" s="500">
        <v>230</v>
      </c>
      <c r="B61" s="500">
        <v>8</v>
      </c>
      <c r="C61" s="500" t="s">
        <v>876</v>
      </c>
      <c r="D61" s="500" t="s">
        <v>877</v>
      </c>
      <c r="E61" s="500" t="s">
        <v>799</v>
      </c>
      <c r="F61" s="500"/>
      <c r="G61" s="500" t="s">
        <v>800</v>
      </c>
      <c r="H61" s="500"/>
      <c r="I61" s="508" t="s">
        <v>187</v>
      </c>
      <c r="J61" s="501" t="s">
        <v>561</v>
      </c>
      <c r="K61" s="502">
        <v>465.93</v>
      </c>
      <c r="L61" s="502">
        <v>3122.43</v>
      </c>
      <c r="M61" s="502">
        <v>3058.77</v>
      </c>
      <c r="N61" s="502"/>
      <c r="O61" s="502">
        <v>0</v>
      </c>
      <c r="P61" s="502">
        <f>K61+L61-M61+N61-O61</f>
        <v>529.58999999999969</v>
      </c>
    </row>
    <row r="62" spans="1:21" s="504" customFormat="1" ht="14.25" x14ac:dyDescent="0.2">
      <c r="A62" s="500">
        <v>210</v>
      </c>
      <c r="B62" s="500">
        <v>0</v>
      </c>
      <c r="C62" s="500" t="s">
        <v>878</v>
      </c>
      <c r="D62" s="500" t="s">
        <v>879</v>
      </c>
      <c r="E62" s="500" t="s">
        <v>799</v>
      </c>
      <c r="F62" s="500"/>
      <c r="G62" s="500" t="s">
        <v>799</v>
      </c>
      <c r="H62" s="500"/>
      <c r="I62" s="508" t="s">
        <v>187</v>
      </c>
      <c r="J62" s="501" t="s">
        <v>561</v>
      </c>
      <c r="K62" s="502">
        <v>1185.8399999999999</v>
      </c>
      <c r="L62" s="502">
        <v>1300</v>
      </c>
      <c r="M62" s="502">
        <v>2485.84</v>
      </c>
      <c r="N62" s="502"/>
      <c r="O62" s="502">
        <v>0</v>
      </c>
      <c r="P62" s="502">
        <f>K62+L62-M62+N62-O62</f>
        <v>0</v>
      </c>
    </row>
    <row r="63" spans="1:21" s="207" customFormat="1" x14ac:dyDescent="0.25">
      <c r="J63" s="224"/>
      <c r="K63" s="209"/>
      <c r="L63" s="209"/>
      <c r="M63" s="209"/>
      <c r="N63" s="209"/>
      <c r="O63" s="209"/>
      <c r="P63" s="209"/>
      <c r="Q63" s="207" t="s">
        <v>466</v>
      </c>
      <c r="R63" s="207" t="s">
        <v>266</v>
      </c>
    </row>
    <row r="64" spans="1:21" s="207" customFormat="1" x14ac:dyDescent="0.25">
      <c r="D64" s="214" t="s">
        <v>354</v>
      </c>
      <c r="E64" s="214"/>
      <c r="F64" s="214"/>
      <c r="G64" s="214"/>
      <c r="H64" s="214"/>
      <c r="J64" s="226" t="s">
        <v>561</v>
      </c>
      <c r="K64" s="209"/>
      <c r="L64" s="210">
        <f>SUM(L59:L63)</f>
        <v>4422.43</v>
      </c>
      <c r="M64" s="209"/>
      <c r="N64" s="209"/>
      <c r="O64" s="209"/>
      <c r="P64" s="209"/>
      <c r="Q64" s="211">
        <f>'Ratei e risconti'!D22</f>
        <v>0</v>
      </c>
      <c r="R64" s="211">
        <f>'Ratei e risconti'!F22</f>
        <v>0</v>
      </c>
      <c r="S64" s="207" t="s">
        <v>210</v>
      </c>
    </row>
    <row r="65" spans="1:16" s="207" customFormat="1" x14ac:dyDescent="0.25">
      <c r="J65" s="224"/>
      <c r="K65" s="209"/>
      <c r="L65" s="209"/>
      <c r="M65" s="209"/>
      <c r="N65" s="209"/>
      <c r="O65" s="209"/>
      <c r="P65" s="209"/>
    </row>
    <row r="66" spans="1:16" s="207" customFormat="1" x14ac:dyDescent="0.25">
      <c r="J66" s="224"/>
      <c r="K66" s="209"/>
      <c r="L66" s="209"/>
      <c r="M66" s="209"/>
      <c r="N66" s="209"/>
      <c r="O66" s="209"/>
      <c r="P66" s="209"/>
    </row>
    <row r="67" spans="1:16" s="504" customFormat="1" ht="14.25" x14ac:dyDescent="0.2">
      <c r="A67" s="500">
        <v>575</v>
      </c>
      <c r="B67" s="500">
        <v>0</v>
      </c>
      <c r="C67" s="500" t="s">
        <v>914</v>
      </c>
      <c r="D67" s="500" t="s">
        <v>915</v>
      </c>
      <c r="E67" s="500" t="s">
        <v>850</v>
      </c>
      <c r="F67" s="500"/>
      <c r="G67" s="500" t="s">
        <v>800</v>
      </c>
      <c r="H67" s="500"/>
      <c r="I67" s="508" t="s">
        <v>190</v>
      </c>
      <c r="J67" s="506" t="s">
        <v>562</v>
      </c>
      <c r="K67" s="502">
        <v>0</v>
      </c>
      <c r="L67" s="502">
        <v>2930</v>
      </c>
      <c r="M67" s="502">
        <v>0</v>
      </c>
      <c r="N67" s="502"/>
      <c r="O67" s="502">
        <v>0</v>
      </c>
      <c r="P67" s="502">
        <f t="shared" ref="P67:P97" si="2">K67+L67-M67+N67-O67</f>
        <v>2930</v>
      </c>
    </row>
    <row r="68" spans="1:16" s="504" customFormat="1" ht="14.25" x14ac:dyDescent="0.2">
      <c r="A68" s="500">
        <v>337</v>
      </c>
      <c r="B68" s="500">
        <v>0</v>
      </c>
      <c r="C68" s="500" t="s">
        <v>916</v>
      </c>
      <c r="D68" s="500" t="s">
        <v>917</v>
      </c>
      <c r="E68" s="500" t="s">
        <v>799</v>
      </c>
      <c r="F68" s="500"/>
      <c r="G68" s="500" t="s">
        <v>850</v>
      </c>
      <c r="H68" s="500"/>
      <c r="I68" s="508" t="s">
        <v>190</v>
      </c>
      <c r="J68" s="506" t="s">
        <v>562</v>
      </c>
      <c r="K68" s="502">
        <v>0</v>
      </c>
      <c r="L68" s="502">
        <v>5052</v>
      </c>
      <c r="M68" s="502">
        <v>0</v>
      </c>
      <c r="N68" s="502"/>
      <c r="O68" s="502">
        <v>0</v>
      </c>
      <c r="P68" s="502">
        <f t="shared" si="2"/>
        <v>5052</v>
      </c>
    </row>
    <row r="69" spans="1:16" s="504" customFormat="1" ht="14.25" x14ac:dyDescent="0.2">
      <c r="A69" s="500">
        <v>110</v>
      </c>
      <c r="B69" s="500">
        <v>0</v>
      </c>
      <c r="C69" s="500" t="s">
        <v>918</v>
      </c>
      <c r="D69" s="500" t="s">
        <v>919</v>
      </c>
      <c r="E69" s="500" t="s">
        <v>799</v>
      </c>
      <c r="F69" s="500"/>
      <c r="G69" s="500" t="s">
        <v>800</v>
      </c>
      <c r="H69" s="500"/>
      <c r="I69" s="508" t="s">
        <v>190</v>
      </c>
      <c r="J69" s="506" t="s">
        <v>562</v>
      </c>
      <c r="K69" s="502">
        <v>103.94</v>
      </c>
      <c r="L69" s="502">
        <v>3463.94</v>
      </c>
      <c r="M69" s="502">
        <v>3463.94</v>
      </c>
      <c r="N69" s="502"/>
      <c r="O69" s="502">
        <v>0</v>
      </c>
      <c r="P69" s="502">
        <f t="shared" si="2"/>
        <v>103.94000000000005</v>
      </c>
    </row>
    <row r="70" spans="1:16" s="504" customFormat="1" ht="14.25" x14ac:dyDescent="0.2">
      <c r="A70" s="500">
        <v>335</v>
      </c>
      <c r="B70" s="500">
        <v>0</v>
      </c>
      <c r="C70" s="500" t="s">
        <v>920</v>
      </c>
      <c r="D70" s="500" t="s">
        <v>921</v>
      </c>
      <c r="E70" s="500" t="s">
        <v>799</v>
      </c>
      <c r="F70" s="500"/>
      <c r="G70" s="500" t="s">
        <v>850</v>
      </c>
      <c r="H70" s="500"/>
      <c r="I70" s="508" t="s">
        <v>190</v>
      </c>
      <c r="J70" s="506" t="s">
        <v>562</v>
      </c>
      <c r="K70" s="502">
        <v>1907.87</v>
      </c>
      <c r="L70" s="502">
        <v>0</v>
      </c>
      <c r="M70" s="502">
        <v>0</v>
      </c>
      <c r="N70" s="502"/>
      <c r="O70" s="502">
        <v>1907.87</v>
      </c>
      <c r="P70" s="502">
        <f t="shared" si="2"/>
        <v>0</v>
      </c>
    </row>
    <row r="71" spans="1:16" s="504" customFormat="1" ht="14.25" x14ac:dyDescent="0.2">
      <c r="A71" s="500">
        <v>440</v>
      </c>
      <c r="B71" s="500">
        <v>0</v>
      </c>
      <c r="C71" s="500" t="s">
        <v>922</v>
      </c>
      <c r="D71" s="500" t="s">
        <v>923</v>
      </c>
      <c r="E71" s="500" t="s">
        <v>799</v>
      </c>
      <c r="F71" s="500"/>
      <c r="G71" s="500" t="s">
        <v>803</v>
      </c>
      <c r="H71" s="500"/>
      <c r="I71" s="508" t="s">
        <v>190</v>
      </c>
      <c r="J71" s="506" t="s">
        <v>562</v>
      </c>
      <c r="K71" s="502">
        <v>157</v>
      </c>
      <c r="L71" s="502">
        <v>315</v>
      </c>
      <c r="M71" s="502">
        <v>315</v>
      </c>
      <c r="N71" s="502"/>
      <c r="O71" s="502">
        <v>0</v>
      </c>
      <c r="P71" s="502">
        <f t="shared" si="2"/>
        <v>157</v>
      </c>
    </row>
    <row r="72" spans="1:16" s="504" customFormat="1" ht="14.25" x14ac:dyDescent="0.2">
      <c r="A72" s="500">
        <v>570</v>
      </c>
      <c r="B72" s="500">
        <v>0</v>
      </c>
      <c r="C72" s="500" t="s">
        <v>922</v>
      </c>
      <c r="D72" s="500" t="s">
        <v>924</v>
      </c>
      <c r="E72" s="500" t="s">
        <v>850</v>
      </c>
      <c r="F72" s="500"/>
      <c r="G72" s="500" t="s">
        <v>800</v>
      </c>
      <c r="H72" s="500"/>
      <c r="I72" s="508" t="s">
        <v>190</v>
      </c>
      <c r="J72" s="506" t="s">
        <v>562</v>
      </c>
      <c r="K72" s="502">
        <v>2363.4499999999998</v>
      </c>
      <c r="L72" s="502">
        <v>2500</v>
      </c>
      <c r="M72" s="502">
        <v>0</v>
      </c>
      <c r="N72" s="502"/>
      <c r="O72" s="502">
        <v>0</v>
      </c>
      <c r="P72" s="502">
        <f t="shared" si="2"/>
        <v>4863.45</v>
      </c>
    </row>
    <row r="73" spans="1:16" s="504" customFormat="1" ht="14.25" x14ac:dyDescent="0.2">
      <c r="A73" s="500">
        <v>630</v>
      </c>
      <c r="B73" s="500">
        <v>0</v>
      </c>
      <c r="C73" s="500" t="s">
        <v>922</v>
      </c>
      <c r="D73" s="500" t="s">
        <v>925</v>
      </c>
      <c r="E73" s="500" t="s">
        <v>829</v>
      </c>
      <c r="F73" s="500"/>
      <c r="G73" s="500" t="s">
        <v>800</v>
      </c>
      <c r="H73" s="500"/>
      <c r="I73" s="508" t="s">
        <v>190</v>
      </c>
      <c r="J73" s="506" t="s">
        <v>562</v>
      </c>
      <c r="K73" s="502">
        <v>0</v>
      </c>
      <c r="L73" s="502">
        <v>644.70000000000005</v>
      </c>
      <c r="M73" s="502">
        <v>644.70000000000005</v>
      </c>
      <c r="N73" s="502"/>
      <c r="O73" s="502">
        <v>0</v>
      </c>
      <c r="P73" s="502">
        <f t="shared" si="2"/>
        <v>0</v>
      </c>
    </row>
    <row r="74" spans="1:16" s="504" customFormat="1" ht="14.25" x14ac:dyDescent="0.2">
      <c r="A74" s="500">
        <v>660</v>
      </c>
      <c r="B74" s="500">
        <v>0</v>
      </c>
      <c r="C74" s="500" t="s">
        <v>926</v>
      </c>
      <c r="D74" s="500" t="s">
        <v>927</v>
      </c>
      <c r="E74" s="500" t="s">
        <v>852</v>
      </c>
      <c r="F74" s="500"/>
      <c r="G74" s="500" t="s">
        <v>799</v>
      </c>
      <c r="H74" s="500"/>
      <c r="I74" s="508" t="s">
        <v>190</v>
      </c>
      <c r="J74" s="506" t="s">
        <v>562</v>
      </c>
      <c r="K74" s="502">
        <v>672</v>
      </c>
      <c r="L74" s="502">
        <v>0</v>
      </c>
      <c r="M74" s="502">
        <v>672</v>
      </c>
      <c r="N74" s="502"/>
      <c r="O74" s="502">
        <v>0</v>
      </c>
      <c r="P74" s="502">
        <f t="shared" si="2"/>
        <v>0</v>
      </c>
    </row>
    <row r="75" spans="1:16" s="504" customFormat="1" ht="14.25" x14ac:dyDescent="0.2">
      <c r="A75" s="500">
        <v>240</v>
      </c>
      <c r="B75" s="500">
        <v>0</v>
      </c>
      <c r="C75" s="500" t="s">
        <v>928</v>
      </c>
      <c r="D75" s="500" t="s">
        <v>929</v>
      </c>
      <c r="E75" s="500" t="s">
        <v>799</v>
      </c>
      <c r="F75" s="500"/>
      <c r="G75" s="500" t="s">
        <v>826</v>
      </c>
      <c r="H75" s="500"/>
      <c r="I75" s="508" t="s">
        <v>190</v>
      </c>
      <c r="J75" s="506" t="s">
        <v>562</v>
      </c>
      <c r="K75" s="502">
        <v>200</v>
      </c>
      <c r="L75" s="502">
        <v>300</v>
      </c>
      <c r="M75" s="502">
        <v>169.23</v>
      </c>
      <c r="N75" s="502"/>
      <c r="O75" s="502">
        <v>30.77</v>
      </c>
      <c r="P75" s="502">
        <f t="shared" si="2"/>
        <v>300</v>
      </c>
    </row>
    <row r="76" spans="1:16" s="504" customFormat="1" ht="14.25" x14ac:dyDescent="0.2">
      <c r="A76" s="500">
        <v>222</v>
      </c>
      <c r="B76" s="500">
        <v>0</v>
      </c>
      <c r="C76" s="500" t="s">
        <v>930</v>
      </c>
      <c r="D76" s="500" t="s">
        <v>931</v>
      </c>
      <c r="E76" s="500" t="s">
        <v>799</v>
      </c>
      <c r="F76" s="500"/>
      <c r="G76" s="500" t="s">
        <v>800</v>
      </c>
      <c r="H76" s="500"/>
      <c r="I76" s="508" t="s">
        <v>190</v>
      </c>
      <c r="J76" s="506" t="s">
        <v>562</v>
      </c>
      <c r="K76" s="502">
        <v>0</v>
      </c>
      <c r="L76" s="502">
        <v>1050</v>
      </c>
      <c r="M76" s="502">
        <v>1050</v>
      </c>
      <c r="N76" s="502"/>
      <c r="O76" s="502">
        <v>0</v>
      </c>
      <c r="P76" s="502">
        <f t="shared" si="2"/>
        <v>0</v>
      </c>
    </row>
    <row r="77" spans="1:16" s="504" customFormat="1" ht="14.25" x14ac:dyDescent="0.2">
      <c r="A77" s="500">
        <v>550</v>
      </c>
      <c r="B77" s="500">
        <v>0</v>
      </c>
      <c r="C77" s="500" t="s">
        <v>930</v>
      </c>
      <c r="D77" s="500" t="s">
        <v>932</v>
      </c>
      <c r="E77" s="500" t="s">
        <v>850</v>
      </c>
      <c r="F77" s="500"/>
      <c r="G77" s="500" t="s">
        <v>852</v>
      </c>
      <c r="H77" s="500"/>
      <c r="I77" s="508" t="s">
        <v>190</v>
      </c>
      <c r="J77" s="506" t="s">
        <v>562</v>
      </c>
      <c r="K77" s="502">
        <v>27687.67</v>
      </c>
      <c r="L77" s="502">
        <v>32700</v>
      </c>
      <c r="M77" s="502">
        <v>27687.67</v>
      </c>
      <c r="N77" s="502"/>
      <c r="O77" s="502">
        <v>0</v>
      </c>
      <c r="P77" s="502">
        <f t="shared" si="2"/>
        <v>32700</v>
      </c>
    </row>
    <row r="78" spans="1:16" s="504" customFormat="1" ht="14.25" x14ac:dyDescent="0.2">
      <c r="A78" s="500">
        <v>560</v>
      </c>
      <c r="B78" s="500">
        <v>0</v>
      </c>
      <c r="C78" s="500" t="s">
        <v>930</v>
      </c>
      <c r="D78" s="500" t="s">
        <v>933</v>
      </c>
      <c r="E78" s="500" t="s">
        <v>850</v>
      </c>
      <c r="F78" s="500"/>
      <c r="G78" s="500" t="s">
        <v>800</v>
      </c>
      <c r="H78" s="500"/>
      <c r="I78" s="508" t="s">
        <v>190</v>
      </c>
      <c r="J78" s="506" t="s">
        <v>562</v>
      </c>
      <c r="K78" s="502">
        <v>544.04999999999995</v>
      </c>
      <c r="L78" s="502">
        <v>580</v>
      </c>
      <c r="M78" s="502">
        <v>518.28</v>
      </c>
      <c r="N78" s="502"/>
      <c r="O78" s="502">
        <v>0</v>
      </c>
      <c r="P78" s="502">
        <f t="shared" si="2"/>
        <v>605.77</v>
      </c>
    </row>
    <row r="79" spans="1:16" s="504" customFormat="1" ht="14.25" x14ac:dyDescent="0.2">
      <c r="A79" s="500">
        <v>581</v>
      </c>
      <c r="B79" s="500">
        <v>0</v>
      </c>
      <c r="C79" s="500" t="s">
        <v>930</v>
      </c>
      <c r="D79" s="500" t="s">
        <v>726</v>
      </c>
      <c r="E79" s="500" t="s">
        <v>847</v>
      </c>
      <c r="F79" s="500"/>
      <c r="G79" s="500" t="s">
        <v>829</v>
      </c>
      <c r="H79" s="500"/>
      <c r="I79" s="508" t="s">
        <v>190</v>
      </c>
      <c r="J79" s="506" t="s">
        <v>562</v>
      </c>
      <c r="K79" s="502">
        <v>23041.16</v>
      </c>
      <c r="L79" s="502">
        <v>0</v>
      </c>
      <c r="M79" s="502">
        <v>0</v>
      </c>
      <c r="N79" s="502"/>
      <c r="O79" s="502">
        <v>7673.12</v>
      </c>
      <c r="P79" s="502">
        <f t="shared" si="2"/>
        <v>15368.04</v>
      </c>
    </row>
    <row r="80" spans="1:16" s="504" customFormat="1" ht="14.25" x14ac:dyDescent="0.2">
      <c r="A80" s="500">
        <v>615</v>
      </c>
      <c r="B80" s="500">
        <v>0</v>
      </c>
      <c r="C80" s="500" t="s">
        <v>930</v>
      </c>
      <c r="D80" s="500" t="s">
        <v>934</v>
      </c>
      <c r="E80" s="500" t="s">
        <v>829</v>
      </c>
      <c r="F80" s="500"/>
      <c r="G80" s="500" t="s">
        <v>800</v>
      </c>
      <c r="H80" s="500"/>
      <c r="I80" s="508" t="s">
        <v>190</v>
      </c>
      <c r="J80" s="506" t="s">
        <v>562</v>
      </c>
      <c r="K80" s="502">
        <v>0</v>
      </c>
      <c r="L80" s="502">
        <v>632</v>
      </c>
      <c r="M80" s="502">
        <v>632</v>
      </c>
      <c r="N80" s="502"/>
      <c r="O80" s="502">
        <v>0</v>
      </c>
      <c r="P80" s="502">
        <f t="shared" si="2"/>
        <v>0</v>
      </c>
    </row>
    <row r="81" spans="1:16" s="504" customFormat="1" ht="14.25" x14ac:dyDescent="0.2">
      <c r="A81" s="500">
        <v>734</v>
      </c>
      <c r="B81" s="500">
        <v>0</v>
      </c>
      <c r="C81" s="500" t="s">
        <v>930</v>
      </c>
      <c r="D81" s="500" t="s">
        <v>935</v>
      </c>
      <c r="E81" s="500" t="s">
        <v>826</v>
      </c>
      <c r="F81" s="500"/>
      <c r="G81" s="500" t="s">
        <v>799</v>
      </c>
      <c r="H81" s="500"/>
      <c r="I81" s="508" t="s">
        <v>190</v>
      </c>
      <c r="J81" s="506" t="s">
        <v>562</v>
      </c>
      <c r="K81" s="502">
        <v>0</v>
      </c>
      <c r="L81" s="502">
        <v>129.81</v>
      </c>
      <c r="M81" s="502">
        <v>129.81</v>
      </c>
      <c r="N81" s="502"/>
      <c r="O81" s="502">
        <v>0</v>
      </c>
      <c r="P81" s="502">
        <f t="shared" si="2"/>
        <v>0</v>
      </c>
    </row>
    <row r="82" spans="1:16" s="504" customFormat="1" ht="14.25" x14ac:dyDescent="0.2">
      <c r="A82" s="500">
        <v>830</v>
      </c>
      <c r="B82" s="500">
        <v>0</v>
      </c>
      <c r="C82" s="500" t="s">
        <v>930</v>
      </c>
      <c r="D82" s="500" t="s">
        <v>936</v>
      </c>
      <c r="E82" s="500" t="s">
        <v>805</v>
      </c>
      <c r="F82" s="500"/>
      <c r="G82" s="500" t="s">
        <v>806</v>
      </c>
      <c r="H82" s="500"/>
      <c r="I82" s="508" t="s">
        <v>190</v>
      </c>
      <c r="J82" s="506" t="s">
        <v>562</v>
      </c>
      <c r="K82" s="502">
        <v>8375.08</v>
      </c>
      <c r="L82" s="502">
        <v>26467.19</v>
      </c>
      <c r="M82" s="502">
        <v>8375.08</v>
      </c>
      <c r="N82" s="502"/>
      <c r="O82" s="502">
        <v>0</v>
      </c>
      <c r="P82" s="502">
        <f t="shared" si="2"/>
        <v>26467.189999999995</v>
      </c>
    </row>
    <row r="83" spans="1:16" s="504" customFormat="1" ht="14.25" x14ac:dyDescent="0.2">
      <c r="A83" s="500">
        <v>900</v>
      </c>
      <c r="B83" s="500">
        <v>0</v>
      </c>
      <c r="C83" s="500" t="s">
        <v>930</v>
      </c>
      <c r="D83" s="500" t="s">
        <v>937</v>
      </c>
      <c r="E83" s="500" t="s">
        <v>847</v>
      </c>
      <c r="F83" s="500"/>
      <c r="G83" s="500" t="s">
        <v>806</v>
      </c>
      <c r="H83" s="500"/>
      <c r="I83" s="508" t="s">
        <v>190</v>
      </c>
      <c r="J83" s="506" t="s">
        <v>562</v>
      </c>
      <c r="K83" s="502">
        <v>3034.1</v>
      </c>
      <c r="L83" s="502">
        <v>8000</v>
      </c>
      <c r="M83" s="502">
        <v>8569.65</v>
      </c>
      <c r="N83" s="502"/>
      <c r="O83" s="502">
        <v>0</v>
      </c>
      <c r="P83" s="502">
        <f t="shared" si="2"/>
        <v>2464.4500000000007</v>
      </c>
    </row>
    <row r="84" spans="1:16" s="504" customFormat="1" ht="14.25" x14ac:dyDescent="0.2">
      <c r="A84" s="500">
        <v>913</v>
      </c>
      <c r="B84" s="500">
        <v>0</v>
      </c>
      <c r="C84" s="500" t="s">
        <v>930</v>
      </c>
      <c r="D84" s="500" t="s">
        <v>938</v>
      </c>
      <c r="E84" s="500" t="s">
        <v>847</v>
      </c>
      <c r="F84" s="500"/>
      <c r="G84" s="500" t="s">
        <v>800</v>
      </c>
      <c r="H84" s="500"/>
      <c r="I84" s="508" t="s">
        <v>190</v>
      </c>
      <c r="J84" s="506" t="s">
        <v>562</v>
      </c>
      <c r="K84" s="502">
        <v>2367.09</v>
      </c>
      <c r="L84" s="502">
        <v>7400</v>
      </c>
      <c r="M84" s="502">
        <v>7367.09</v>
      </c>
      <c r="N84" s="502"/>
      <c r="O84" s="502">
        <v>0</v>
      </c>
      <c r="P84" s="502">
        <f t="shared" si="2"/>
        <v>2400</v>
      </c>
    </row>
    <row r="85" spans="1:16" s="504" customFormat="1" ht="14.25" x14ac:dyDescent="0.2">
      <c r="A85" s="500">
        <v>915</v>
      </c>
      <c r="B85" s="500">
        <v>0</v>
      </c>
      <c r="C85" s="500" t="s">
        <v>930</v>
      </c>
      <c r="D85" s="500" t="s">
        <v>939</v>
      </c>
      <c r="E85" s="500" t="s">
        <v>850</v>
      </c>
      <c r="F85" s="500"/>
      <c r="G85" s="500" t="s">
        <v>800</v>
      </c>
      <c r="H85" s="500"/>
      <c r="I85" s="508" t="s">
        <v>190</v>
      </c>
      <c r="J85" s="506" t="s">
        <v>562</v>
      </c>
      <c r="K85" s="502">
        <v>16046.71</v>
      </c>
      <c r="L85" s="502">
        <v>15000</v>
      </c>
      <c r="M85" s="502">
        <v>31046.71</v>
      </c>
      <c r="N85" s="502"/>
      <c r="O85" s="502">
        <v>0</v>
      </c>
      <c r="P85" s="502">
        <f t="shared" si="2"/>
        <v>0</v>
      </c>
    </row>
    <row r="86" spans="1:16" s="504" customFormat="1" ht="14.25" x14ac:dyDescent="0.2">
      <c r="A86" s="500">
        <v>924</v>
      </c>
      <c r="B86" s="500">
        <v>0</v>
      </c>
      <c r="C86" s="500" t="s">
        <v>930</v>
      </c>
      <c r="D86" s="500" t="s">
        <v>940</v>
      </c>
      <c r="E86" s="500" t="s">
        <v>847</v>
      </c>
      <c r="F86" s="500"/>
      <c r="G86" s="500" t="s">
        <v>800</v>
      </c>
      <c r="H86" s="500"/>
      <c r="I86" s="508" t="s">
        <v>190</v>
      </c>
      <c r="J86" s="506" t="s">
        <v>562</v>
      </c>
      <c r="K86" s="502">
        <v>0</v>
      </c>
      <c r="L86" s="502">
        <v>3398.4</v>
      </c>
      <c r="M86" s="502">
        <v>3115.2</v>
      </c>
      <c r="N86" s="502"/>
      <c r="O86" s="502">
        <v>0</v>
      </c>
      <c r="P86" s="502">
        <f t="shared" si="2"/>
        <v>283.20000000000027</v>
      </c>
    </row>
    <row r="87" spans="1:16" s="504" customFormat="1" ht="14.25" x14ac:dyDescent="0.2">
      <c r="A87" s="500">
        <v>925</v>
      </c>
      <c r="B87" s="500">
        <v>0</v>
      </c>
      <c r="C87" s="500" t="s">
        <v>930</v>
      </c>
      <c r="D87" s="500" t="s">
        <v>941</v>
      </c>
      <c r="E87" s="500" t="s">
        <v>847</v>
      </c>
      <c r="F87" s="500"/>
      <c r="G87" s="500" t="s">
        <v>800</v>
      </c>
      <c r="H87" s="500"/>
      <c r="I87" s="508" t="s">
        <v>190</v>
      </c>
      <c r="J87" s="506" t="s">
        <v>562</v>
      </c>
      <c r="K87" s="502">
        <v>11105</v>
      </c>
      <c r="L87" s="502">
        <v>18500</v>
      </c>
      <c r="M87" s="502">
        <v>21100.26</v>
      </c>
      <c r="N87" s="502"/>
      <c r="O87" s="502">
        <v>0</v>
      </c>
      <c r="P87" s="502">
        <f t="shared" si="2"/>
        <v>8504.7400000000016</v>
      </c>
    </row>
    <row r="88" spans="1:16" s="504" customFormat="1" ht="14.25" x14ac:dyDescent="0.2">
      <c r="A88" s="500">
        <v>939</v>
      </c>
      <c r="B88" s="500">
        <v>0</v>
      </c>
      <c r="C88" s="500" t="s">
        <v>930</v>
      </c>
      <c r="D88" s="500" t="s">
        <v>942</v>
      </c>
      <c r="E88" s="500" t="s">
        <v>847</v>
      </c>
      <c r="F88" s="500"/>
      <c r="G88" s="500" t="s">
        <v>800</v>
      </c>
      <c r="H88" s="500"/>
      <c r="I88" s="508" t="s">
        <v>190</v>
      </c>
      <c r="J88" s="506" t="s">
        <v>562</v>
      </c>
      <c r="K88" s="502">
        <v>0</v>
      </c>
      <c r="L88" s="502">
        <v>2500</v>
      </c>
      <c r="M88" s="502">
        <v>2500</v>
      </c>
      <c r="N88" s="502"/>
      <c r="O88" s="502">
        <v>0</v>
      </c>
      <c r="P88" s="502">
        <f t="shared" si="2"/>
        <v>0</v>
      </c>
    </row>
    <row r="89" spans="1:16" s="504" customFormat="1" ht="14.25" x14ac:dyDescent="0.2">
      <c r="A89" s="500">
        <v>951</v>
      </c>
      <c r="B89" s="500">
        <v>0</v>
      </c>
      <c r="C89" s="500" t="s">
        <v>930</v>
      </c>
      <c r="D89" s="500" t="s">
        <v>943</v>
      </c>
      <c r="E89" s="500" t="s">
        <v>944</v>
      </c>
      <c r="F89" s="500"/>
      <c r="G89" s="500" t="s">
        <v>800</v>
      </c>
      <c r="H89" s="500"/>
      <c r="I89" s="508" t="s">
        <v>190</v>
      </c>
      <c r="J89" s="506" t="s">
        <v>562</v>
      </c>
      <c r="K89" s="502">
        <v>1017</v>
      </c>
      <c r="L89" s="502">
        <v>3132.39</v>
      </c>
      <c r="M89" s="502">
        <v>3100.44</v>
      </c>
      <c r="N89" s="502"/>
      <c r="O89" s="502">
        <v>0.76</v>
      </c>
      <c r="P89" s="502">
        <f t="shared" si="2"/>
        <v>1048.1899999999994</v>
      </c>
    </row>
    <row r="90" spans="1:16" s="504" customFormat="1" ht="14.25" x14ac:dyDescent="0.2">
      <c r="A90" s="500">
        <v>929</v>
      </c>
      <c r="B90" s="500">
        <v>0</v>
      </c>
      <c r="C90" s="500" t="s">
        <v>945</v>
      </c>
      <c r="D90" s="500" t="s">
        <v>946</v>
      </c>
      <c r="E90" s="500" t="s">
        <v>847</v>
      </c>
      <c r="F90" s="500"/>
      <c r="G90" s="500" t="s">
        <v>829</v>
      </c>
      <c r="H90" s="500"/>
      <c r="I90" s="508" t="s">
        <v>193</v>
      </c>
      <c r="J90" s="506" t="s">
        <v>562</v>
      </c>
      <c r="K90" s="502">
        <v>228.68</v>
      </c>
      <c r="L90" s="502">
        <v>0</v>
      </c>
      <c r="M90" s="502">
        <v>0</v>
      </c>
      <c r="N90" s="502"/>
      <c r="O90" s="502">
        <v>0</v>
      </c>
      <c r="P90" s="502">
        <f t="shared" si="2"/>
        <v>228.68</v>
      </c>
    </row>
    <row r="91" spans="1:16" s="504" customFormat="1" ht="14.25" x14ac:dyDescent="0.2">
      <c r="A91" s="500">
        <v>936</v>
      </c>
      <c r="B91" s="500">
        <v>0</v>
      </c>
      <c r="C91" s="500" t="s">
        <v>945</v>
      </c>
      <c r="D91" s="500" t="s">
        <v>947</v>
      </c>
      <c r="E91" s="500" t="s">
        <v>847</v>
      </c>
      <c r="F91" s="500"/>
      <c r="G91" s="500" t="s">
        <v>829</v>
      </c>
      <c r="H91" s="500"/>
      <c r="I91" s="508" t="s">
        <v>193</v>
      </c>
      <c r="J91" s="506" t="s">
        <v>562</v>
      </c>
      <c r="K91" s="502">
        <v>1000</v>
      </c>
      <c r="L91" s="502">
        <v>750</v>
      </c>
      <c r="M91" s="502">
        <v>1000</v>
      </c>
      <c r="N91" s="502"/>
      <c r="O91" s="502">
        <v>0</v>
      </c>
      <c r="P91" s="502">
        <f t="shared" si="2"/>
        <v>750</v>
      </c>
    </row>
    <row r="92" spans="1:16" s="504" customFormat="1" ht="14.25" x14ac:dyDescent="0.2">
      <c r="A92" s="500">
        <v>230</v>
      </c>
      <c r="B92" s="500">
        <v>5</v>
      </c>
      <c r="C92" s="500" t="s">
        <v>948</v>
      </c>
      <c r="D92" s="500" t="s">
        <v>949</v>
      </c>
      <c r="E92" s="500" t="s">
        <v>799</v>
      </c>
      <c r="F92" s="500"/>
      <c r="G92" s="500" t="s">
        <v>829</v>
      </c>
      <c r="H92" s="500"/>
      <c r="I92" s="508" t="s">
        <v>193</v>
      </c>
      <c r="J92" s="506" t="s">
        <v>562</v>
      </c>
      <c r="K92" s="502">
        <v>0</v>
      </c>
      <c r="L92" s="502">
        <v>1200</v>
      </c>
      <c r="M92" s="502">
        <v>1200</v>
      </c>
      <c r="N92" s="502"/>
      <c r="O92" s="502">
        <v>0</v>
      </c>
      <c r="P92" s="502">
        <f t="shared" si="2"/>
        <v>0</v>
      </c>
    </row>
    <row r="93" spans="1:16" s="504" customFormat="1" ht="14.25" x14ac:dyDescent="0.2">
      <c r="A93" s="500">
        <v>571</v>
      </c>
      <c r="B93" s="500">
        <v>0</v>
      </c>
      <c r="C93" s="500" t="s">
        <v>948</v>
      </c>
      <c r="D93" s="500" t="s">
        <v>950</v>
      </c>
      <c r="E93" s="500" t="s">
        <v>850</v>
      </c>
      <c r="F93" s="500"/>
      <c r="G93" s="500" t="s">
        <v>852</v>
      </c>
      <c r="H93" s="500"/>
      <c r="I93" s="508" t="s">
        <v>193</v>
      </c>
      <c r="J93" s="506" t="s">
        <v>562</v>
      </c>
      <c r="K93" s="502">
        <v>1650</v>
      </c>
      <c r="L93" s="502">
        <v>1000</v>
      </c>
      <c r="M93" s="502">
        <v>850</v>
      </c>
      <c r="N93" s="502"/>
      <c r="O93" s="502">
        <v>0</v>
      </c>
      <c r="P93" s="502">
        <f t="shared" si="2"/>
        <v>1800</v>
      </c>
    </row>
    <row r="94" spans="1:16" s="504" customFormat="1" ht="14.25" x14ac:dyDescent="0.2">
      <c r="A94" s="500">
        <v>923</v>
      </c>
      <c r="B94" s="500">
        <v>0</v>
      </c>
      <c r="C94" s="500" t="s">
        <v>948</v>
      </c>
      <c r="D94" s="500" t="s">
        <v>951</v>
      </c>
      <c r="E94" s="500" t="s">
        <v>847</v>
      </c>
      <c r="F94" s="500"/>
      <c r="G94" s="500" t="s">
        <v>829</v>
      </c>
      <c r="H94" s="500"/>
      <c r="I94" s="508" t="s">
        <v>193</v>
      </c>
      <c r="J94" s="506" t="s">
        <v>562</v>
      </c>
      <c r="K94" s="502">
        <v>2000</v>
      </c>
      <c r="L94" s="502">
        <v>1000</v>
      </c>
      <c r="M94" s="502">
        <v>2000</v>
      </c>
      <c r="N94" s="502"/>
      <c r="O94" s="502">
        <v>0</v>
      </c>
      <c r="P94" s="502">
        <f t="shared" si="2"/>
        <v>1000</v>
      </c>
    </row>
    <row r="95" spans="1:16" s="504" customFormat="1" ht="14.25" x14ac:dyDescent="0.2">
      <c r="A95" s="500">
        <v>485</v>
      </c>
      <c r="B95" s="500">
        <v>0</v>
      </c>
      <c r="C95" s="500" t="s">
        <v>952</v>
      </c>
      <c r="D95" s="500" t="s">
        <v>953</v>
      </c>
      <c r="E95" s="500" t="s">
        <v>850</v>
      </c>
      <c r="F95" s="500"/>
      <c r="G95" s="500" t="s">
        <v>799</v>
      </c>
      <c r="H95" s="500"/>
      <c r="I95" s="508" t="s">
        <v>193</v>
      </c>
      <c r="J95" s="506" t="s">
        <v>562</v>
      </c>
      <c r="K95" s="502">
        <v>1960</v>
      </c>
      <c r="L95" s="502">
        <v>3000</v>
      </c>
      <c r="M95" s="502">
        <v>4960</v>
      </c>
      <c r="N95" s="502"/>
      <c r="O95" s="502">
        <v>0</v>
      </c>
      <c r="P95" s="502">
        <f t="shared" si="2"/>
        <v>0</v>
      </c>
    </row>
    <row r="96" spans="1:16" s="504" customFormat="1" ht="14.25" x14ac:dyDescent="0.2">
      <c r="A96" s="500">
        <v>620</v>
      </c>
      <c r="B96" s="500">
        <v>0</v>
      </c>
      <c r="C96" s="500" t="s">
        <v>952</v>
      </c>
      <c r="D96" s="500" t="s">
        <v>954</v>
      </c>
      <c r="E96" s="500" t="s">
        <v>829</v>
      </c>
      <c r="F96" s="500"/>
      <c r="G96" s="500" t="s">
        <v>800</v>
      </c>
      <c r="H96" s="500"/>
      <c r="I96" s="508" t="s">
        <v>193</v>
      </c>
      <c r="J96" s="506" t="s">
        <v>562</v>
      </c>
      <c r="K96" s="502">
        <v>4783.33</v>
      </c>
      <c r="L96" s="502">
        <v>8977.34</v>
      </c>
      <c r="M96" s="502">
        <v>13683.63</v>
      </c>
      <c r="N96" s="502"/>
      <c r="O96" s="502">
        <v>0</v>
      </c>
      <c r="P96" s="502">
        <f t="shared" si="2"/>
        <v>77.040000000000873</v>
      </c>
    </row>
    <row r="97" spans="1:19" s="504" customFormat="1" ht="14.25" x14ac:dyDescent="0.2">
      <c r="A97" s="500">
        <v>695</v>
      </c>
      <c r="B97" s="500">
        <v>0</v>
      </c>
      <c r="C97" s="500" t="s">
        <v>952</v>
      </c>
      <c r="D97" s="500" t="s">
        <v>955</v>
      </c>
      <c r="E97" s="500" t="s">
        <v>843</v>
      </c>
      <c r="F97" s="500"/>
      <c r="G97" s="500" t="s">
        <v>799</v>
      </c>
      <c r="H97" s="500"/>
      <c r="I97" s="508" t="s">
        <v>193</v>
      </c>
      <c r="J97" s="506" t="s">
        <v>562</v>
      </c>
      <c r="K97" s="502">
        <v>1000</v>
      </c>
      <c r="L97" s="502">
        <v>1000</v>
      </c>
      <c r="M97" s="502">
        <v>2000</v>
      </c>
      <c r="N97" s="502"/>
      <c r="O97" s="502">
        <v>0</v>
      </c>
      <c r="P97" s="502">
        <f t="shared" si="2"/>
        <v>0</v>
      </c>
    </row>
    <row r="98" spans="1:19" s="207" customFormat="1" x14ac:dyDescent="0.25">
      <c r="J98" s="224"/>
      <c r="K98" s="209"/>
      <c r="L98" s="209"/>
      <c r="M98" s="209"/>
      <c r="N98" s="209"/>
      <c r="O98" s="209"/>
      <c r="P98" s="209"/>
      <c r="Q98" s="207" t="s">
        <v>466</v>
      </c>
      <c r="R98" s="207" t="s">
        <v>266</v>
      </c>
    </row>
    <row r="99" spans="1:19" s="207" customFormat="1" x14ac:dyDescent="0.25">
      <c r="D99" s="214" t="s">
        <v>304</v>
      </c>
      <c r="E99" s="214"/>
      <c r="F99" s="214"/>
      <c r="G99" s="214"/>
      <c r="H99" s="214"/>
      <c r="J99" s="226" t="s">
        <v>562</v>
      </c>
      <c r="K99" s="209"/>
      <c r="L99" s="210">
        <f>SUM(L65:L98)</f>
        <v>151622.76999999999</v>
      </c>
      <c r="M99" s="209"/>
      <c r="N99" s="209"/>
      <c r="O99" s="209"/>
      <c r="P99" s="209"/>
      <c r="Q99" s="211">
        <f>'Ratei e risconti'!D23</f>
        <v>0</v>
      </c>
      <c r="R99" s="211">
        <f>'Ratei e risconti'!F23</f>
        <v>0</v>
      </c>
      <c r="S99" s="207" t="s">
        <v>210</v>
      </c>
    </row>
    <row r="100" spans="1:19" s="207" customFormat="1" x14ac:dyDescent="0.25">
      <c r="J100" s="224"/>
      <c r="K100" s="209"/>
      <c r="L100" s="209"/>
      <c r="M100" s="209"/>
      <c r="N100" s="209"/>
      <c r="O100" s="209"/>
      <c r="P100" s="209"/>
    </row>
    <row r="101" spans="1:19" s="212" customFormat="1" x14ac:dyDescent="0.25">
      <c r="J101" s="225"/>
      <c r="K101" s="213"/>
      <c r="L101" s="213"/>
      <c r="M101" s="213"/>
      <c r="N101" s="213"/>
      <c r="O101" s="213"/>
      <c r="P101" s="213"/>
    </row>
    <row r="102" spans="1:19" s="504" customFormat="1" ht="14.25" x14ac:dyDescent="0.2">
      <c r="A102" s="500">
        <v>115</v>
      </c>
      <c r="B102" s="500">
        <v>0</v>
      </c>
      <c r="C102" s="500" t="s">
        <v>797</v>
      </c>
      <c r="D102" s="500" t="s">
        <v>798</v>
      </c>
      <c r="E102" s="500" t="s">
        <v>799</v>
      </c>
      <c r="F102" s="500"/>
      <c r="G102" s="500" t="s">
        <v>800</v>
      </c>
      <c r="H102" s="500"/>
      <c r="I102" s="508" t="s">
        <v>197</v>
      </c>
      <c r="J102" s="506" t="s">
        <v>563</v>
      </c>
      <c r="K102" s="502">
        <v>0</v>
      </c>
      <c r="L102" s="502">
        <v>11779.2</v>
      </c>
      <c r="M102" s="502">
        <v>11779.2</v>
      </c>
      <c r="N102" s="502"/>
      <c r="O102" s="502">
        <v>0</v>
      </c>
      <c r="P102" s="502">
        <f t="shared" ref="P102:P113" si="3">K102+L102-M102+N102-O102</f>
        <v>0</v>
      </c>
    </row>
    <row r="103" spans="1:19" s="504" customFormat="1" ht="14.25" x14ac:dyDescent="0.2">
      <c r="A103" s="500">
        <v>120</v>
      </c>
      <c r="B103" s="500">
        <v>0</v>
      </c>
      <c r="C103" s="500" t="s">
        <v>797</v>
      </c>
      <c r="D103" s="500" t="s">
        <v>801</v>
      </c>
      <c r="E103" s="500" t="s">
        <v>799</v>
      </c>
      <c r="F103" s="500"/>
      <c r="G103" s="500" t="s">
        <v>800</v>
      </c>
      <c r="H103" s="500"/>
      <c r="I103" s="508" t="s">
        <v>197</v>
      </c>
      <c r="J103" s="506" t="s">
        <v>563</v>
      </c>
      <c r="K103" s="502">
        <v>0</v>
      </c>
      <c r="L103" s="502">
        <v>28598.51</v>
      </c>
      <c r="M103" s="502">
        <v>28598.51</v>
      </c>
      <c r="N103" s="502"/>
      <c r="O103" s="502">
        <v>0</v>
      </c>
      <c r="P103" s="502">
        <f t="shared" si="3"/>
        <v>0</v>
      </c>
    </row>
    <row r="104" spans="1:19" s="504" customFormat="1" ht="14.25" x14ac:dyDescent="0.2">
      <c r="A104" s="500">
        <v>120</v>
      </c>
      <c r="B104" s="500">
        <v>1</v>
      </c>
      <c r="C104" s="500" t="s">
        <v>797</v>
      </c>
      <c r="D104" s="500" t="s">
        <v>802</v>
      </c>
      <c r="E104" s="500" t="s">
        <v>799</v>
      </c>
      <c r="F104" s="500"/>
      <c r="G104" s="500" t="s">
        <v>803</v>
      </c>
      <c r="H104" s="500"/>
      <c r="I104" s="508" t="s">
        <v>197</v>
      </c>
      <c r="J104" s="506" t="s">
        <v>563</v>
      </c>
      <c r="K104" s="502">
        <v>0</v>
      </c>
      <c r="L104" s="502">
        <v>19931.36</v>
      </c>
      <c r="M104" s="502">
        <v>19931.36</v>
      </c>
      <c r="N104" s="502"/>
      <c r="O104" s="502">
        <v>0</v>
      </c>
      <c r="P104" s="502">
        <f t="shared" si="3"/>
        <v>0</v>
      </c>
    </row>
    <row r="105" spans="1:19" s="504" customFormat="1" ht="14.25" x14ac:dyDescent="0.2">
      <c r="A105" s="500">
        <v>120</v>
      </c>
      <c r="B105" s="500">
        <v>2</v>
      </c>
      <c r="C105" s="500" t="s">
        <v>797</v>
      </c>
      <c r="D105" s="500" t="s">
        <v>804</v>
      </c>
      <c r="E105" s="500" t="s">
        <v>805</v>
      </c>
      <c r="F105" s="500"/>
      <c r="G105" s="500" t="s">
        <v>806</v>
      </c>
      <c r="H105" s="500"/>
      <c r="I105" s="508" t="s">
        <v>197</v>
      </c>
      <c r="J105" s="506" t="s">
        <v>563</v>
      </c>
      <c r="K105" s="502">
        <v>0</v>
      </c>
      <c r="L105" s="502">
        <v>25263.95</v>
      </c>
      <c r="M105" s="502">
        <v>25263.95</v>
      </c>
      <c r="N105" s="502"/>
      <c r="O105" s="502">
        <v>0</v>
      </c>
      <c r="P105" s="502">
        <f t="shared" si="3"/>
        <v>0</v>
      </c>
    </row>
    <row r="106" spans="1:19" s="504" customFormat="1" ht="14.25" x14ac:dyDescent="0.2">
      <c r="A106" s="500">
        <v>140</v>
      </c>
      <c r="B106" s="500">
        <v>0</v>
      </c>
      <c r="C106" s="500" t="s">
        <v>807</v>
      </c>
      <c r="D106" s="500" t="s">
        <v>808</v>
      </c>
      <c r="E106" s="500" t="s">
        <v>799</v>
      </c>
      <c r="F106" s="500"/>
      <c r="G106" s="500" t="s">
        <v>800</v>
      </c>
      <c r="H106" s="500"/>
      <c r="I106" s="508" t="s">
        <v>197</v>
      </c>
      <c r="J106" s="506" t="s">
        <v>563</v>
      </c>
      <c r="K106" s="502">
        <v>0.04</v>
      </c>
      <c r="L106" s="502">
        <v>5499.96</v>
      </c>
      <c r="M106" s="502">
        <v>5499.96</v>
      </c>
      <c r="N106" s="502"/>
      <c r="O106" s="502">
        <v>0.04</v>
      </c>
      <c r="P106" s="502">
        <f t="shared" si="3"/>
        <v>-3.6380620738185598E-14</v>
      </c>
    </row>
    <row r="107" spans="1:19" s="504" customFormat="1" ht="14.25" x14ac:dyDescent="0.2">
      <c r="A107" s="500">
        <v>140</v>
      </c>
      <c r="B107" s="500">
        <v>2</v>
      </c>
      <c r="C107" s="500" t="s">
        <v>807</v>
      </c>
      <c r="D107" s="500" t="s">
        <v>809</v>
      </c>
      <c r="E107" s="500" t="s">
        <v>799</v>
      </c>
      <c r="F107" s="500"/>
      <c r="G107" s="500" t="s">
        <v>803</v>
      </c>
      <c r="H107" s="500"/>
      <c r="I107" s="508" t="s">
        <v>197</v>
      </c>
      <c r="J107" s="506" t="s">
        <v>563</v>
      </c>
      <c r="K107" s="502">
        <v>85.85</v>
      </c>
      <c r="L107" s="502">
        <v>2697</v>
      </c>
      <c r="M107" s="502">
        <v>2697</v>
      </c>
      <c r="N107" s="502"/>
      <c r="O107" s="502">
        <v>85.85</v>
      </c>
      <c r="P107" s="502">
        <f t="shared" si="3"/>
        <v>0</v>
      </c>
    </row>
    <row r="108" spans="1:19" s="504" customFormat="1" ht="14.25" x14ac:dyDescent="0.2">
      <c r="A108" s="500">
        <v>140</v>
      </c>
      <c r="B108" s="500">
        <v>3</v>
      </c>
      <c r="C108" s="500" t="s">
        <v>807</v>
      </c>
      <c r="D108" s="500" t="s">
        <v>810</v>
      </c>
      <c r="E108" s="500" t="s">
        <v>805</v>
      </c>
      <c r="F108" s="500"/>
      <c r="G108" s="500" t="s">
        <v>806</v>
      </c>
      <c r="H108" s="500"/>
      <c r="I108" s="508" t="s">
        <v>197</v>
      </c>
      <c r="J108" s="506" t="s">
        <v>563</v>
      </c>
      <c r="K108" s="502">
        <v>0</v>
      </c>
      <c r="L108" s="502">
        <v>2000</v>
      </c>
      <c r="M108" s="502">
        <v>2000</v>
      </c>
      <c r="N108" s="502"/>
      <c r="O108" s="502">
        <v>0</v>
      </c>
      <c r="P108" s="502">
        <f t="shared" si="3"/>
        <v>0</v>
      </c>
    </row>
    <row r="109" spans="1:19" s="504" customFormat="1" ht="14.25" x14ac:dyDescent="0.2">
      <c r="A109" s="500">
        <v>230</v>
      </c>
      <c r="B109" s="500">
        <v>7</v>
      </c>
      <c r="C109" s="500" t="s">
        <v>811</v>
      </c>
      <c r="D109" s="500" t="s">
        <v>812</v>
      </c>
      <c r="E109" s="500" t="s">
        <v>799</v>
      </c>
      <c r="F109" s="500"/>
      <c r="G109" s="500" t="s">
        <v>800</v>
      </c>
      <c r="H109" s="500"/>
      <c r="I109" s="508" t="s">
        <v>187</v>
      </c>
      <c r="J109" s="506" t="s">
        <v>563</v>
      </c>
      <c r="K109" s="502">
        <v>0</v>
      </c>
      <c r="L109" s="502">
        <v>5966.1</v>
      </c>
      <c r="M109" s="502">
        <v>5161.1000000000004</v>
      </c>
      <c r="N109" s="502"/>
      <c r="O109" s="502">
        <v>0</v>
      </c>
      <c r="P109" s="502">
        <f t="shared" si="3"/>
        <v>805</v>
      </c>
    </row>
    <row r="110" spans="1:19" s="504" customFormat="1" ht="14.25" x14ac:dyDescent="0.2">
      <c r="A110" s="500">
        <v>125</v>
      </c>
      <c r="B110" s="500">
        <v>0</v>
      </c>
      <c r="C110" s="500" t="s">
        <v>813</v>
      </c>
      <c r="D110" s="500" t="s">
        <v>814</v>
      </c>
      <c r="E110" s="500" t="s">
        <v>799</v>
      </c>
      <c r="F110" s="500"/>
      <c r="G110" s="500" t="s">
        <v>800</v>
      </c>
      <c r="H110" s="500"/>
      <c r="I110" s="508" t="s">
        <v>195</v>
      </c>
      <c r="J110" s="506" t="s">
        <v>563</v>
      </c>
      <c r="K110" s="502">
        <v>0</v>
      </c>
      <c r="L110" s="502">
        <v>2803.44</v>
      </c>
      <c r="M110" s="502">
        <v>2803.44</v>
      </c>
      <c r="N110" s="502"/>
      <c r="O110" s="502">
        <v>0</v>
      </c>
      <c r="P110" s="502">
        <f t="shared" si="3"/>
        <v>0</v>
      </c>
    </row>
    <row r="111" spans="1:19" s="504" customFormat="1" ht="14.25" x14ac:dyDescent="0.2">
      <c r="A111" s="500">
        <v>130</v>
      </c>
      <c r="B111" s="500">
        <v>0</v>
      </c>
      <c r="C111" s="500" t="s">
        <v>813</v>
      </c>
      <c r="D111" s="500" t="s">
        <v>815</v>
      </c>
      <c r="E111" s="500" t="s">
        <v>799</v>
      </c>
      <c r="F111" s="500"/>
      <c r="G111" s="500" t="s">
        <v>800</v>
      </c>
      <c r="H111" s="500"/>
      <c r="I111" s="508" t="s">
        <v>195</v>
      </c>
      <c r="J111" s="506" t="s">
        <v>563</v>
      </c>
      <c r="K111" s="502">
        <v>0</v>
      </c>
      <c r="L111" s="502">
        <v>8278.6</v>
      </c>
      <c r="M111" s="502">
        <v>8278.6</v>
      </c>
      <c r="N111" s="502"/>
      <c r="O111" s="502">
        <v>0</v>
      </c>
      <c r="P111" s="502">
        <f t="shared" si="3"/>
        <v>0</v>
      </c>
    </row>
    <row r="112" spans="1:19" s="504" customFormat="1" ht="14.25" x14ac:dyDescent="0.2">
      <c r="A112" s="500">
        <v>130</v>
      </c>
      <c r="B112" s="500">
        <v>1</v>
      </c>
      <c r="C112" s="500" t="s">
        <v>813</v>
      </c>
      <c r="D112" s="500" t="s">
        <v>816</v>
      </c>
      <c r="E112" s="500" t="s">
        <v>799</v>
      </c>
      <c r="F112" s="500"/>
      <c r="G112" s="500" t="s">
        <v>803</v>
      </c>
      <c r="H112" s="500"/>
      <c r="I112" s="508" t="s">
        <v>195</v>
      </c>
      <c r="J112" s="506" t="s">
        <v>563</v>
      </c>
      <c r="K112" s="502">
        <v>0</v>
      </c>
      <c r="L112" s="502">
        <v>5670.67</v>
      </c>
      <c r="M112" s="502">
        <v>5670.67</v>
      </c>
      <c r="N112" s="502"/>
      <c r="O112" s="502">
        <v>0</v>
      </c>
      <c r="P112" s="502">
        <f t="shared" si="3"/>
        <v>0</v>
      </c>
    </row>
    <row r="113" spans="1:21" s="504" customFormat="1" ht="14.25" x14ac:dyDescent="0.2">
      <c r="A113" s="500">
        <v>130</v>
      </c>
      <c r="B113" s="500">
        <v>2</v>
      </c>
      <c r="C113" s="500" t="s">
        <v>813</v>
      </c>
      <c r="D113" s="500" t="s">
        <v>817</v>
      </c>
      <c r="E113" s="500" t="s">
        <v>805</v>
      </c>
      <c r="F113" s="500"/>
      <c r="G113" s="500" t="s">
        <v>806</v>
      </c>
      <c r="H113" s="500"/>
      <c r="I113" s="508" t="s">
        <v>195</v>
      </c>
      <c r="J113" s="506" t="s">
        <v>563</v>
      </c>
      <c r="K113" s="502">
        <v>0</v>
      </c>
      <c r="L113" s="502">
        <v>6927.65</v>
      </c>
      <c r="M113" s="502">
        <v>6927.65</v>
      </c>
      <c r="N113" s="502"/>
      <c r="O113" s="502">
        <v>0</v>
      </c>
      <c r="P113" s="502">
        <f t="shared" si="3"/>
        <v>0</v>
      </c>
    </row>
    <row r="114" spans="1:21" s="207" customFormat="1" x14ac:dyDescent="0.25">
      <c r="J114" s="224"/>
      <c r="K114" s="209"/>
      <c r="L114" s="209"/>
      <c r="M114" s="209"/>
      <c r="N114" s="209"/>
      <c r="O114" s="209"/>
      <c r="P114" s="209"/>
      <c r="Q114" s="207" t="s">
        <v>265</v>
      </c>
      <c r="R114" s="207" t="s">
        <v>266</v>
      </c>
    </row>
    <row r="115" spans="1:21" s="207" customFormat="1" x14ac:dyDescent="0.25">
      <c r="D115" s="214" t="s">
        <v>307</v>
      </c>
      <c r="E115" s="214"/>
      <c r="F115" s="214"/>
      <c r="G115" s="214"/>
      <c r="H115" s="214"/>
      <c r="J115" s="226" t="s">
        <v>563</v>
      </c>
      <c r="K115" s="209"/>
      <c r="L115" s="210">
        <f>SUM(L100:L114)</f>
        <v>125416.44000000002</v>
      </c>
      <c r="M115" s="209"/>
      <c r="N115" s="209"/>
      <c r="O115" s="209"/>
      <c r="P115" s="209"/>
      <c r="Q115" s="228">
        <f>Altre!C126</f>
        <v>6563</v>
      </c>
      <c r="R115" s="228">
        <f>Altre!D126</f>
        <v>6066</v>
      </c>
      <c r="S115" s="207" t="s">
        <v>211</v>
      </c>
    </row>
    <row r="116" spans="1:21" s="207" customFormat="1" x14ac:dyDescent="0.25">
      <c r="J116" s="224"/>
      <c r="K116" s="209"/>
      <c r="L116" s="209"/>
      <c r="M116" s="209"/>
      <c r="N116" s="209"/>
      <c r="O116" s="209"/>
      <c r="P116" s="209"/>
    </row>
    <row r="117" spans="1:21" s="212" customFormat="1" x14ac:dyDescent="0.25">
      <c r="J117" s="225"/>
      <c r="K117" s="213"/>
      <c r="L117" s="213"/>
      <c r="M117" s="213"/>
      <c r="N117" s="213"/>
      <c r="O117" s="213"/>
      <c r="P117" s="213"/>
    </row>
    <row r="118" spans="1:21" s="504" customFormat="1" ht="14.25" x14ac:dyDescent="0.2">
      <c r="A118" s="500">
        <v>410</v>
      </c>
      <c r="B118" s="500">
        <v>0</v>
      </c>
      <c r="C118" s="500" t="s">
        <v>824</v>
      </c>
      <c r="D118" s="500" t="s">
        <v>825</v>
      </c>
      <c r="E118" s="500" t="s">
        <v>799</v>
      </c>
      <c r="F118" s="500"/>
      <c r="G118" s="500" t="s">
        <v>826</v>
      </c>
      <c r="H118" s="500"/>
      <c r="I118" s="508" t="s">
        <v>194</v>
      </c>
      <c r="J118" s="506" t="s">
        <v>546</v>
      </c>
      <c r="K118" s="502">
        <v>1147</v>
      </c>
      <c r="L118" s="502">
        <v>1594.54</v>
      </c>
      <c r="M118" s="502">
        <v>2553.6999999999998</v>
      </c>
      <c r="N118" s="502"/>
      <c r="O118" s="502">
        <v>0</v>
      </c>
      <c r="P118" s="502">
        <f>K118+L118-M118+N118-O118</f>
        <v>187.84000000000015</v>
      </c>
    </row>
    <row r="119" spans="1:21" s="504" customFormat="1" ht="14.25" x14ac:dyDescent="0.2">
      <c r="A119" s="500">
        <v>360</v>
      </c>
      <c r="B119" s="500">
        <v>0</v>
      </c>
      <c r="C119" s="500" t="s">
        <v>958</v>
      </c>
      <c r="D119" s="500" t="s">
        <v>959</v>
      </c>
      <c r="E119" s="500" t="s">
        <v>799</v>
      </c>
      <c r="F119" s="500"/>
      <c r="G119" s="500" t="s">
        <v>850</v>
      </c>
      <c r="H119" s="500"/>
      <c r="I119" s="508" t="s">
        <v>197</v>
      </c>
      <c r="J119" s="506" t="s">
        <v>546</v>
      </c>
      <c r="K119" s="502">
        <v>882</v>
      </c>
      <c r="L119" s="502">
        <v>4000</v>
      </c>
      <c r="M119" s="502">
        <v>4412.74</v>
      </c>
      <c r="N119" s="502"/>
      <c r="O119" s="502">
        <v>0</v>
      </c>
      <c r="P119" s="502">
        <f>K119+L119-M119+N119-O119</f>
        <v>469.26000000000022</v>
      </c>
    </row>
    <row r="120" spans="1:21" s="504" customFormat="1" ht="14.25" x14ac:dyDescent="0.2">
      <c r="A120" s="500">
        <v>90</v>
      </c>
      <c r="B120" s="500">
        <v>0</v>
      </c>
      <c r="C120" s="500" t="s">
        <v>960</v>
      </c>
      <c r="D120" s="500" t="s">
        <v>961</v>
      </c>
      <c r="E120" s="500" t="s">
        <v>799</v>
      </c>
      <c r="F120" s="500"/>
      <c r="G120" s="500" t="s">
        <v>826</v>
      </c>
      <c r="H120" s="500"/>
      <c r="I120" s="508" t="s">
        <v>187</v>
      </c>
      <c r="J120" s="506" t="s">
        <v>546</v>
      </c>
      <c r="K120" s="502">
        <v>1669.76</v>
      </c>
      <c r="L120" s="502">
        <v>3132.39</v>
      </c>
      <c r="M120" s="502">
        <v>4424.07</v>
      </c>
      <c r="N120" s="502"/>
      <c r="O120" s="502">
        <v>378.08</v>
      </c>
      <c r="P120" s="502">
        <f>K120+L120-M120+N120-O120</f>
        <v>0</v>
      </c>
    </row>
    <row r="121" spans="1:21" s="504" customFormat="1" ht="14.25" x14ac:dyDescent="0.2">
      <c r="A121" s="500">
        <v>212</v>
      </c>
      <c r="B121" s="500">
        <v>0</v>
      </c>
      <c r="C121" s="500" t="s">
        <v>962</v>
      </c>
      <c r="D121" s="500" t="s">
        <v>963</v>
      </c>
      <c r="E121" s="500" t="s">
        <v>799</v>
      </c>
      <c r="F121" s="500"/>
      <c r="G121" s="500" t="s">
        <v>800</v>
      </c>
      <c r="H121" s="500"/>
      <c r="I121" s="508" t="s">
        <v>197</v>
      </c>
      <c r="J121" s="506" t="s">
        <v>546</v>
      </c>
      <c r="K121" s="502">
        <v>750</v>
      </c>
      <c r="L121" s="502">
        <v>0</v>
      </c>
      <c r="M121" s="502">
        <v>750</v>
      </c>
      <c r="N121" s="502"/>
      <c r="O121" s="502">
        <v>0</v>
      </c>
      <c r="P121" s="502">
        <f>K121+L121-M121+N121-O121</f>
        <v>0</v>
      </c>
    </row>
    <row r="122" spans="1:21" s="504" customFormat="1" ht="14.25" x14ac:dyDescent="0.2">
      <c r="A122" s="500">
        <v>455</v>
      </c>
      <c r="B122" s="500">
        <v>0</v>
      </c>
      <c r="C122" s="500" t="s">
        <v>962</v>
      </c>
      <c r="D122" s="500" t="s">
        <v>964</v>
      </c>
      <c r="E122" s="500" t="s">
        <v>799</v>
      </c>
      <c r="F122" s="500"/>
      <c r="G122" s="500" t="s">
        <v>806</v>
      </c>
      <c r="H122" s="500"/>
      <c r="I122" s="508" t="s">
        <v>197</v>
      </c>
      <c r="J122" s="506" t="s">
        <v>546</v>
      </c>
      <c r="K122" s="502">
        <v>586.08000000000004</v>
      </c>
      <c r="L122" s="502">
        <v>193</v>
      </c>
      <c r="M122" s="502">
        <v>0</v>
      </c>
      <c r="N122" s="502"/>
      <c r="O122" s="502">
        <v>586.08000000000004</v>
      </c>
      <c r="P122" s="502">
        <f>K122+L122-M122+N122-O122</f>
        <v>193</v>
      </c>
    </row>
    <row r="123" spans="1:21" s="207" customFormat="1" x14ac:dyDescent="0.25">
      <c r="J123" s="224"/>
      <c r="K123" s="209"/>
      <c r="L123" s="209"/>
      <c r="M123" s="209"/>
      <c r="N123" s="209"/>
      <c r="O123" s="209"/>
      <c r="P123" s="209"/>
      <c r="Q123" s="207" t="s">
        <v>466</v>
      </c>
      <c r="R123" s="207" t="s">
        <v>266</v>
      </c>
    </row>
    <row r="124" spans="1:21" s="207" customFormat="1" x14ac:dyDescent="0.25">
      <c r="D124" s="208" t="s">
        <v>316</v>
      </c>
      <c r="E124" s="208"/>
      <c r="F124" s="208"/>
      <c r="G124" s="208"/>
      <c r="H124" s="208"/>
      <c r="J124" s="226" t="s">
        <v>546</v>
      </c>
      <c r="K124" s="209"/>
      <c r="L124" s="210">
        <f>SUM(L116:L123)</f>
        <v>8919.93</v>
      </c>
      <c r="M124" s="209"/>
      <c r="N124" s="209"/>
      <c r="O124" s="209"/>
      <c r="P124" s="209"/>
      <c r="Q124" s="211">
        <f>'Ratei e risconti'!D24</f>
        <v>851.4</v>
      </c>
      <c r="R124" s="211">
        <f>'Ratei e risconti'!F24</f>
        <v>1062.4100000000001</v>
      </c>
      <c r="S124" s="207" t="s">
        <v>210</v>
      </c>
      <c r="T124" s="322" t="s">
        <v>465</v>
      </c>
      <c r="U124" s="228">
        <f>Altre!D136</f>
        <v>193</v>
      </c>
    </row>
    <row r="125" spans="1:21" s="207" customFormat="1" x14ac:dyDescent="0.25">
      <c r="J125" s="224"/>
      <c r="K125" s="209"/>
      <c r="L125" s="209"/>
      <c r="M125" s="209"/>
      <c r="N125" s="209"/>
      <c r="O125" s="209"/>
      <c r="P125" s="209"/>
    </row>
    <row r="126" spans="1:21" s="207" customFormat="1" x14ac:dyDescent="0.25">
      <c r="J126" s="224"/>
      <c r="K126" s="209"/>
      <c r="L126" s="209"/>
      <c r="M126" s="209"/>
      <c r="N126" s="209"/>
      <c r="O126" s="209"/>
      <c r="P126" s="209"/>
    </row>
    <row r="127" spans="1:21" s="504" customFormat="1" ht="14.25" x14ac:dyDescent="0.2">
      <c r="A127" s="500">
        <v>290</v>
      </c>
      <c r="B127" s="500">
        <v>0</v>
      </c>
      <c r="C127" s="500" t="s">
        <v>956</v>
      </c>
      <c r="D127" s="500" t="s">
        <v>957</v>
      </c>
      <c r="E127" s="500" t="s">
        <v>799</v>
      </c>
      <c r="F127" s="500"/>
      <c r="G127" s="500" t="s">
        <v>829</v>
      </c>
      <c r="H127" s="500"/>
      <c r="I127" s="508" t="s">
        <v>177</v>
      </c>
      <c r="J127" s="506" t="s">
        <v>564</v>
      </c>
      <c r="K127" s="502">
        <v>0</v>
      </c>
      <c r="L127" s="502">
        <v>21510</v>
      </c>
      <c r="M127" s="502">
        <v>21510</v>
      </c>
      <c r="N127" s="502"/>
      <c r="O127" s="502">
        <v>0</v>
      </c>
      <c r="P127" s="502">
        <f>K127+L127-M127+N127-O127</f>
        <v>0</v>
      </c>
    </row>
    <row r="128" spans="1:21" s="207" customFormat="1" x14ac:dyDescent="0.25">
      <c r="J128" s="224"/>
      <c r="K128" s="209"/>
      <c r="L128" s="209"/>
      <c r="M128" s="209"/>
      <c r="N128" s="209"/>
      <c r="O128" s="209"/>
      <c r="P128" s="209"/>
    </row>
    <row r="129" spans="1:17" s="212" customFormat="1" x14ac:dyDescent="0.25">
      <c r="D129" s="214" t="s">
        <v>328</v>
      </c>
      <c r="E129" s="214"/>
      <c r="F129" s="214"/>
      <c r="G129" s="214"/>
      <c r="H129" s="214"/>
      <c r="J129" s="227" t="s">
        <v>564</v>
      </c>
      <c r="K129" s="213"/>
      <c r="L129" s="210">
        <f>SUM(L125:L128)</f>
        <v>21510</v>
      </c>
      <c r="M129" s="213"/>
      <c r="N129" s="213"/>
      <c r="O129" s="213"/>
      <c r="P129" s="213"/>
    </row>
    <row r="130" spans="1:17" s="212" customFormat="1" x14ac:dyDescent="0.25">
      <c r="D130" s="214"/>
      <c r="E130" s="214"/>
      <c r="F130" s="214"/>
      <c r="G130" s="214"/>
      <c r="H130" s="214"/>
      <c r="J130" s="225"/>
      <c r="K130" s="213"/>
      <c r="L130" s="215"/>
      <c r="M130" s="213"/>
      <c r="N130" s="213"/>
      <c r="O130" s="213"/>
      <c r="P130" s="213"/>
    </row>
    <row r="131" spans="1:17" s="212" customFormat="1" x14ac:dyDescent="0.25">
      <c r="D131" s="214"/>
      <c r="E131" s="214"/>
      <c r="F131" s="214"/>
      <c r="G131" s="214"/>
      <c r="H131" s="214"/>
      <c r="J131" s="225"/>
      <c r="K131" s="213"/>
      <c r="L131" s="215"/>
      <c r="M131" s="213"/>
      <c r="N131" s="213"/>
      <c r="O131" s="213"/>
      <c r="P131" s="213"/>
    </row>
    <row r="132" spans="1:17" s="207" customFormat="1" x14ac:dyDescent="0.25">
      <c r="J132" s="224"/>
      <c r="K132" s="209"/>
      <c r="L132" s="209"/>
      <c r="M132" s="209"/>
      <c r="N132" s="209"/>
      <c r="O132" s="209"/>
      <c r="P132" s="209"/>
    </row>
    <row r="133" spans="1:17" s="207" customFormat="1" x14ac:dyDescent="0.25">
      <c r="D133" s="216" t="s">
        <v>346</v>
      </c>
      <c r="E133" s="216"/>
      <c r="F133" s="216"/>
      <c r="G133" s="216"/>
      <c r="H133" s="216"/>
      <c r="J133" s="226" t="s">
        <v>565</v>
      </c>
      <c r="K133" s="209"/>
      <c r="L133" s="210">
        <f>SUM(L130:L132)</f>
        <v>0</v>
      </c>
      <c r="M133" s="209"/>
      <c r="N133" s="209"/>
      <c r="O133" s="209"/>
      <c r="P133" s="209"/>
    </row>
    <row r="134" spans="1:17" s="207" customFormat="1" x14ac:dyDescent="0.25">
      <c r="J134" s="224"/>
      <c r="K134" s="209"/>
      <c r="L134" s="209"/>
      <c r="M134" s="209"/>
      <c r="N134" s="209"/>
      <c r="O134" s="209"/>
      <c r="P134" s="209"/>
    </row>
    <row r="135" spans="1:17" s="207" customFormat="1" x14ac:dyDescent="0.25">
      <c r="J135" s="224"/>
      <c r="K135" s="209"/>
      <c r="L135" s="209"/>
      <c r="M135" s="209"/>
      <c r="N135" s="209"/>
      <c r="O135" s="209"/>
      <c r="P135" s="209"/>
    </row>
    <row r="136" spans="1:17" s="504" customFormat="1" ht="14.25" x14ac:dyDescent="0.2">
      <c r="A136" s="500">
        <v>144</v>
      </c>
      <c r="B136" s="500">
        <v>0</v>
      </c>
      <c r="C136" s="500" t="s">
        <v>818</v>
      </c>
      <c r="D136" s="500" t="s">
        <v>819</v>
      </c>
      <c r="E136" s="500" t="s">
        <v>799</v>
      </c>
      <c r="F136" s="500"/>
      <c r="G136" s="500" t="s">
        <v>800</v>
      </c>
      <c r="H136" s="500"/>
      <c r="I136" s="508" t="s">
        <v>194</v>
      </c>
      <c r="J136" s="506">
        <v>26</v>
      </c>
      <c r="K136" s="502">
        <v>0</v>
      </c>
      <c r="L136" s="502">
        <v>1001.64</v>
      </c>
      <c r="M136" s="502">
        <v>1001.64</v>
      </c>
      <c r="N136" s="502"/>
      <c r="O136" s="502">
        <v>0</v>
      </c>
      <c r="P136" s="502">
        <f>K136+L136-M136+N136-O136</f>
        <v>0</v>
      </c>
    </row>
    <row r="137" spans="1:17" s="504" customFormat="1" ht="14.25" x14ac:dyDescent="0.2">
      <c r="A137" s="500">
        <v>145</v>
      </c>
      <c r="B137" s="500">
        <v>0</v>
      </c>
      <c r="C137" s="500" t="s">
        <v>818</v>
      </c>
      <c r="D137" s="500" t="s">
        <v>820</v>
      </c>
      <c r="E137" s="500" t="s">
        <v>799</v>
      </c>
      <c r="F137" s="500"/>
      <c r="G137" s="500" t="s">
        <v>800</v>
      </c>
      <c r="H137" s="500"/>
      <c r="I137" s="508" t="s">
        <v>194</v>
      </c>
      <c r="J137" s="506">
        <v>26</v>
      </c>
      <c r="K137" s="502">
        <v>0</v>
      </c>
      <c r="L137" s="502">
        <v>2845.6</v>
      </c>
      <c r="M137" s="502">
        <v>2845.6</v>
      </c>
      <c r="N137" s="502"/>
      <c r="O137" s="502">
        <v>0</v>
      </c>
      <c r="P137" s="502">
        <f>K137+L137-M137+N137-O137</f>
        <v>0</v>
      </c>
    </row>
    <row r="138" spans="1:17" s="504" customFormat="1" ht="14.25" x14ac:dyDescent="0.2">
      <c r="A138" s="500">
        <v>145</v>
      </c>
      <c r="B138" s="500">
        <v>1</v>
      </c>
      <c r="C138" s="500" t="s">
        <v>818</v>
      </c>
      <c r="D138" s="500" t="s">
        <v>821</v>
      </c>
      <c r="E138" s="500" t="s">
        <v>799</v>
      </c>
      <c r="F138" s="500"/>
      <c r="G138" s="500" t="s">
        <v>803</v>
      </c>
      <c r="H138" s="500"/>
      <c r="I138" s="508" t="s">
        <v>194</v>
      </c>
      <c r="J138" s="506">
        <v>26</v>
      </c>
      <c r="K138" s="502">
        <v>0</v>
      </c>
      <c r="L138" s="502">
        <v>1887.12</v>
      </c>
      <c r="M138" s="502">
        <v>1887.12</v>
      </c>
      <c r="N138" s="502"/>
      <c r="O138" s="502">
        <v>0</v>
      </c>
      <c r="P138" s="502">
        <f>K138+L138-M138+N138-O138</f>
        <v>0</v>
      </c>
    </row>
    <row r="139" spans="1:17" s="504" customFormat="1" ht="14.25" x14ac:dyDescent="0.2">
      <c r="A139" s="500">
        <v>145</v>
      </c>
      <c r="B139" s="500">
        <v>2</v>
      </c>
      <c r="C139" s="500" t="s">
        <v>818</v>
      </c>
      <c r="D139" s="500" t="s">
        <v>822</v>
      </c>
      <c r="E139" s="500" t="s">
        <v>805</v>
      </c>
      <c r="F139" s="500"/>
      <c r="G139" s="500" t="s">
        <v>806</v>
      </c>
      <c r="H139" s="500"/>
      <c r="I139" s="508" t="s">
        <v>194</v>
      </c>
      <c r="J139" s="506">
        <v>26</v>
      </c>
      <c r="K139" s="502">
        <v>0</v>
      </c>
      <c r="L139" s="502">
        <v>2309.35</v>
      </c>
      <c r="M139" s="502">
        <v>2309.35</v>
      </c>
      <c r="N139" s="502"/>
      <c r="O139" s="502">
        <v>0</v>
      </c>
      <c r="P139" s="502">
        <f>K139+L139-M139+N139-O139</f>
        <v>0</v>
      </c>
    </row>
    <row r="140" spans="1:17" s="504" customFormat="1" ht="14.25" x14ac:dyDescent="0.2">
      <c r="A140" s="500">
        <v>147</v>
      </c>
      <c r="B140" s="500">
        <v>0</v>
      </c>
      <c r="C140" s="500" t="s">
        <v>818</v>
      </c>
      <c r="D140" s="500" t="s">
        <v>823</v>
      </c>
      <c r="E140" s="500" t="s">
        <v>799</v>
      </c>
      <c r="F140" s="500"/>
      <c r="G140" s="500" t="s">
        <v>800</v>
      </c>
      <c r="H140" s="500"/>
      <c r="I140" s="508" t="s">
        <v>194</v>
      </c>
      <c r="J140" s="506">
        <v>26</v>
      </c>
      <c r="K140" s="502">
        <v>0</v>
      </c>
      <c r="L140" s="502">
        <v>2353.48</v>
      </c>
      <c r="M140" s="502">
        <v>2353.48</v>
      </c>
      <c r="N140" s="502"/>
      <c r="O140" s="502">
        <v>0</v>
      </c>
      <c r="P140" s="502">
        <f>K140+L140-M140+N140-O140</f>
        <v>0</v>
      </c>
    </row>
    <row r="141" spans="1:17" s="207" customFormat="1" x14ac:dyDescent="0.25">
      <c r="J141" s="224"/>
      <c r="K141" s="209"/>
      <c r="L141" s="209"/>
      <c r="M141" s="209"/>
      <c r="N141" s="209"/>
      <c r="O141" s="209"/>
      <c r="P141" s="209"/>
    </row>
    <row r="142" spans="1:17" s="207" customFormat="1" x14ac:dyDescent="0.25">
      <c r="D142" s="217" t="s">
        <v>355</v>
      </c>
      <c r="E142" s="217"/>
      <c r="F142" s="217"/>
      <c r="G142" s="217"/>
      <c r="H142" s="217"/>
      <c r="J142" s="226" t="s">
        <v>370</v>
      </c>
      <c r="K142" s="209"/>
      <c r="L142" s="210">
        <f>SUM(L134:L141)</f>
        <v>10397.189999999999</v>
      </c>
      <c r="M142" s="209"/>
      <c r="N142" s="209"/>
      <c r="O142" s="209"/>
      <c r="P142" s="209"/>
    </row>
    <row r="143" spans="1:17" s="207" customFormat="1" x14ac:dyDescent="0.25">
      <c r="A143" s="203"/>
      <c r="B143" s="203"/>
      <c r="C143" s="203"/>
      <c r="D143" s="203"/>
      <c r="E143" s="203"/>
      <c r="F143" s="203"/>
      <c r="G143" s="203"/>
      <c r="H143" s="203"/>
      <c r="I143" s="203"/>
      <c r="J143" s="223"/>
      <c r="K143" s="218"/>
      <c r="L143" s="218"/>
      <c r="M143" s="218"/>
      <c r="N143" s="218"/>
      <c r="O143" s="218"/>
      <c r="P143" s="218"/>
      <c r="Q143" s="203"/>
    </row>
    <row r="145" spans="1:16" x14ac:dyDescent="0.25">
      <c r="D145" s="408" t="s">
        <v>515</v>
      </c>
      <c r="K145" s="219"/>
      <c r="L145" s="219"/>
      <c r="M145" s="219"/>
      <c r="N145" s="219"/>
      <c r="O145" s="219"/>
      <c r="P145" s="219"/>
    </row>
    <row r="147" spans="1:16" s="504" customFormat="1" ht="14.25" x14ac:dyDescent="0.2">
      <c r="A147" s="500">
        <v>1027</v>
      </c>
      <c r="B147" s="500">
        <v>0</v>
      </c>
      <c r="C147" s="500" t="s">
        <v>988</v>
      </c>
      <c r="D147" s="500" t="s">
        <v>989</v>
      </c>
      <c r="E147" s="500" t="s">
        <v>843</v>
      </c>
      <c r="F147" s="500"/>
      <c r="G147" s="500" t="s">
        <v>799</v>
      </c>
      <c r="H147" s="500"/>
      <c r="I147" s="508" t="s">
        <v>190</v>
      </c>
      <c r="J147" s="501" t="s">
        <v>990</v>
      </c>
      <c r="K147" s="502">
        <v>11347</v>
      </c>
      <c r="L147" s="502">
        <v>0</v>
      </c>
      <c r="M147" s="502">
        <v>0</v>
      </c>
      <c r="N147" s="502"/>
      <c r="O147" s="502">
        <v>0</v>
      </c>
      <c r="P147" s="502">
        <f t="shared" ref="P147:P171" si="4">K147+L147-M147+N147-O147</f>
        <v>11347</v>
      </c>
    </row>
    <row r="148" spans="1:16" s="504" customFormat="1" ht="14.25" x14ac:dyDescent="0.2">
      <c r="A148" s="500">
        <v>1072</v>
      </c>
      <c r="B148" s="500">
        <v>0</v>
      </c>
      <c r="C148" s="500" t="s">
        <v>965</v>
      </c>
      <c r="D148" s="500" t="s">
        <v>966</v>
      </c>
      <c r="E148" s="500" t="s">
        <v>843</v>
      </c>
      <c r="F148" s="500"/>
      <c r="G148" s="500" t="s">
        <v>799</v>
      </c>
      <c r="H148" s="500"/>
      <c r="I148" s="508" t="s">
        <v>187</v>
      </c>
      <c r="J148" s="507" t="s">
        <v>785</v>
      </c>
      <c r="K148" s="502">
        <v>133988.42000000001</v>
      </c>
      <c r="L148" s="502">
        <v>0</v>
      </c>
      <c r="M148" s="502">
        <v>66082.64</v>
      </c>
      <c r="N148" s="502"/>
      <c r="O148" s="502">
        <v>0</v>
      </c>
      <c r="P148" s="502">
        <f t="shared" si="4"/>
        <v>67905.780000000013</v>
      </c>
    </row>
    <row r="149" spans="1:16" s="504" customFormat="1" ht="14.25" x14ac:dyDescent="0.2">
      <c r="A149" s="500">
        <v>1088</v>
      </c>
      <c r="B149" s="500">
        <v>0</v>
      </c>
      <c r="C149" s="500" t="s">
        <v>965</v>
      </c>
      <c r="D149" s="500" t="s">
        <v>967</v>
      </c>
      <c r="E149" s="500" t="s">
        <v>799</v>
      </c>
      <c r="F149" s="500"/>
      <c r="G149" s="500" t="s">
        <v>800</v>
      </c>
      <c r="H149" s="500"/>
      <c r="I149" s="508" t="s">
        <v>187</v>
      </c>
      <c r="J149" s="507" t="s">
        <v>785</v>
      </c>
      <c r="K149" s="502">
        <v>4999.5600000000004</v>
      </c>
      <c r="L149" s="502">
        <v>0</v>
      </c>
      <c r="M149" s="502">
        <v>0</v>
      </c>
      <c r="N149" s="502"/>
      <c r="O149" s="502">
        <v>0</v>
      </c>
      <c r="P149" s="502">
        <f t="shared" si="4"/>
        <v>4999.5600000000004</v>
      </c>
    </row>
    <row r="150" spans="1:16" s="504" customFormat="1" ht="14.25" x14ac:dyDescent="0.2">
      <c r="A150" s="500">
        <v>1094</v>
      </c>
      <c r="B150" s="500">
        <v>0</v>
      </c>
      <c r="C150" s="500" t="s">
        <v>965</v>
      </c>
      <c r="D150" s="500" t="s">
        <v>968</v>
      </c>
      <c r="E150" s="500" t="s">
        <v>836</v>
      </c>
      <c r="F150" s="500"/>
      <c r="G150" s="500" t="s">
        <v>829</v>
      </c>
      <c r="H150" s="500"/>
      <c r="I150" s="508" t="s">
        <v>187</v>
      </c>
      <c r="J150" s="507" t="s">
        <v>785</v>
      </c>
      <c r="K150" s="502">
        <v>5384.4</v>
      </c>
      <c r="L150" s="502">
        <v>0</v>
      </c>
      <c r="M150" s="502">
        <v>0</v>
      </c>
      <c r="N150" s="502"/>
      <c r="O150" s="502">
        <v>0</v>
      </c>
      <c r="P150" s="502">
        <f t="shared" si="4"/>
        <v>5384.4</v>
      </c>
    </row>
    <row r="151" spans="1:16" s="504" customFormat="1" ht="14.25" x14ac:dyDescent="0.2">
      <c r="A151" s="500">
        <v>1108</v>
      </c>
      <c r="B151" s="500">
        <v>0</v>
      </c>
      <c r="C151" s="500" t="s">
        <v>965</v>
      </c>
      <c r="D151" s="500" t="s">
        <v>969</v>
      </c>
      <c r="E151" s="500" t="s">
        <v>843</v>
      </c>
      <c r="F151" s="500"/>
      <c r="G151" s="500" t="s">
        <v>799</v>
      </c>
      <c r="H151" s="500"/>
      <c r="I151" s="508" t="s">
        <v>187</v>
      </c>
      <c r="J151" s="507" t="s">
        <v>785</v>
      </c>
      <c r="K151" s="502">
        <v>0</v>
      </c>
      <c r="L151" s="502">
        <v>21960</v>
      </c>
      <c r="M151" s="502">
        <v>21960</v>
      </c>
      <c r="N151" s="502"/>
      <c r="O151" s="502">
        <v>0</v>
      </c>
      <c r="P151" s="502">
        <f t="shared" si="4"/>
        <v>0</v>
      </c>
    </row>
    <row r="152" spans="1:16" s="504" customFormat="1" ht="14.25" x14ac:dyDescent="0.2">
      <c r="A152" s="500">
        <v>1116</v>
      </c>
      <c r="B152" s="500">
        <v>0</v>
      </c>
      <c r="C152" s="500" t="s">
        <v>965</v>
      </c>
      <c r="D152" s="500" t="s">
        <v>970</v>
      </c>
      <c r="E152" s="500" t="s">
        <v>843</v>
      </c>
      <c r="F152" s="500"/>
      <c r="G152" s="500" t="s">
        <v>799</v>
      </c>
      <c r="H152" s="500"/>
      <c r="I152" s="508" t="s">
        <v>187</v>
      </c>
      <c r="J152" s="507" t="s">
        <v>785</v>
      </c>
      <c r="K152" s="502">
        <v>243041</v>
      </c>
      <c r="L152" s="502">
        <v>0</v>
      </c>
      <c r="M152" s="502">
        <v>165059.63</v>
      </c>
      <c r="N152" s="502"/>
      <c r="O152" s="502">
        <v>0</v>
      </c>
      <c r="P152" s="502">
        <f t="shared" si="4"/>
        <v>77981.37</v>
      </c>
    </row>
    <row r="153" spans="1:16" s="504" customFormat="1" ht="14.25" x14ac:dyDescent="0.2">
      <c r="A153" s="500">
        <v>1140</v>
      </c>
      <c r="B153" s="500">
        <v>0</v>
      </c>
      <c r="C153" s="500" t="s">
        <v>965</v>
      </c>
      <c r="D153" s="500" t="s">
        <v>971</v>
      </c>
      <c r="E153" s="500" t="s">
        <v>843</v>
      </c>
      <c r="F153" s="500"/>
      <c r="G153" s="500" t="s">
        <v>799</v>
      </c>
      <c r="H153" s="500"/>
      <c r="I153" s="508" t="s">
        <v>187</v>
      </c>
      <c r="J153" s="507" t="s">
        <v>785</v>
      </c>
      <c r="K153" s="502">
        <v>0</v>
      </c>
      <c r="L153" s="502">
        <v>12034.68</v>
      </c>
      <c r="M153" s="502">
        <v>9200.5400000000009</v>
      </c>
      <c r="N153" s="502"/>
      <c r="O153" s="502">
        <v>0</v>
      </c>
      <c r="P153" s="502">
        <f t="shared" si="4"/>
        <v>2834.1399999999994</v>
      </c>
    </row>
    <row r="154" spans="1:16" s="504" customFormat="1" ht="14.25" x14ac:dyDescent="0.2">
      <c r="A154" s="500">
        <v>1143</v>
      </c>
      <c r="B154" s="500">
        <v>0</v>
      </c>
      <c r="C154" s="500" t="s">
        <v>965</v>
      </c>
      <c r="D154" s="500" t="s">
        <v>972</v>
      </c>
      <c r="E154" s="500" t="s">
        <v>836</v>
      </c>
      <c r="F154" s="500"/>
      <c r="G154" s="500" t="s">
        <v>829</v>
      </c>
      <c r="H154" s="500"/>
      <c r="I154" s="508" t="s">
        <v>187</v>
      </c>
      <c r="J154" s="507" t="s">
        <v>785</v>
      </c>
      <c r="K154" s="502">
        <v>3937</v>
      </c>
      <c r="L154" s="502">
        <v>100000</v>
      </c>
      <c r="M154" s="502">
        <v>4440.8</v>
      </c>
      <c r="N154" s="502"/>
      <c r="O154" s="502">
        <v>0</v>
      </c>
      <c r="P154" s="502">
        <f t="shared" si="4"/>
        <v>99496.2</v>
      </c>
    </row>
    <row r="155" spans="1:16" s="504" customFormat="1" ht="14.25" x14ac:dyDescent="0.2">
      <c r="A155" s="500">
        <v>1004</v>
      </c>
      <c r="B155" s="500">
        <v>0</v>
      </c>
      <c r="C155" s="500" t="s">
        <v>973</v>
      </c>
      <c r="D155" s="500" t="s">
        <v>974</v>
      </c>
      <c r="E155" s="500" t="s">
        <v>843</v>
      </c>
      <c r="F155" s="500"/>
      <c r="G155" s="500" t="s">
        <v>799</v>
      </c>
      <c r="H155" s="500"/>
      <c r="I155" s="508" t="s">
        <v>187</v>
      </c>
      <c r="J155" s="507" t="s">
        <v>785</v>
      </c>
      <c r="K155" s="502">
        <v>224484.65</v>
      </c>
      <c r="L155" s="502">
        <v>0</v>
      </c>
      <c r="M155" s="502">
        <v>0</v>
      </c>
      <c r="N155" s="502"/>
      <c r="O155" s="502">
        <v>0</v>
      </c>
      <c r="P155" s="502">
        <f t="shared" si="4"/>
        <v>224484.65</v>
      </c>
    </row>
    <row r="156" spans="1:16" s="504" customFormat="1" ht="14.25" x14ac:dyDescent="0.2">
      <c r="A156" s="500">
        <v>1117</v>
      </c>
      <c r="B156" s="500">
        <v>0</v>
      </c>
      <c r="C156" s="500" t="s">
        <v>975</v>
      </c>
      <c r="D156" s="500" t="s">
        <v>976</v>
      </c>
      <c r="E156" s="500" t="s">
        <v>977</v>
      </c>
      <c r="F156" s="500"/>
      <c r="G156" s="500" t="s">
        <v>799</v>
      </c>
      <c r="H156" s="500"/>
      <c r="I156" s="508" t="s">
        <v>187</v>
      </c>
      <c r="J156" s="507" t="s">
        <v>785</v>
      </c>
      <c r="K156" s="502">
        <v>14030</v>
      </c>
      <c r="L156" s="502">
        <v>0</v>
      </c>
      <c r="M156" s="502">
        <v>14030</v>
      </c>
      <c r="N156" s="502"/>
      <c r="O156" s="502">
        <v>0</v>
      </c>
      <c r="P156" s="502">
        <f t="shared" si="4"/>
        <v>0</v>
      </c>
    </row>
    <row r="157" spans="1:16" s="504" customFormat="1" ht="14.25" x14ac:dyDescent="0.2">
      <c r="A157" s="500">
        <v>1028</v>
      </c>
      <c r="B157" s="500">
        <v>0</v>
      </c>
      <c r="C157" s="500" t="s">
        <v>978</v>
      </c>
      <c r="D157" s="500" t="s">
        <v>979</v>
      </c>
      <c r="E157" s="500" t="s">
        <v>836</v>
      </c>
      <c r="F157" s="500"/>
      <c r="G157" s="500" t="s">
        <v>829</v>
      </c>
      <c r="H157" s="500"/>
      <c r="I157" s="508" t="s">
        <v>187</v>
      </c>
      <c r="J157" s="507" t="s">
        <v>785</v>
      </c>
      <c r="K157" s="502">
        <v>45295.98</v>
      </c>
      <c r="L157" s="502">
        <v>0</v>
      </c>
      <c r="M157" s="502">
        <v>45295.98</v>
      </c>
      <c r="N157" s="502"/>
      <c r="O157" s="502">
        <v>0</v>
      </c>
      <c r="P157" s="502">
        <f t="shared" si="4"/>
        <v>0</v>
      </c>
    </row>
    <row r="158" spans="1:16" s="504" customFormat="1" ht="14.25" x14ac:dyDescent="0.2">
      <c r="A158" s="500">
        <v>1045</v>
      </c>
      <c r="B158" s="500">
        <v>0</v>
      </c>
      <c r="C158" s="500" t="s">
        <v>980</v>
      </c>
      <c r="D158" s="500" t="s">
        <v>981</v>
      </c>
      <c r="E158" s="500" t="s">
        <v>843</v>
      </c>
      <c r="F158" s="500"/>
      <c r="G158" s="500" t="s">
        <v>799</v>
      </c>
      <c r="H158" s="500"/>
      <c r="I158" s="508" t="s">
        <v>187</v>
      </c>
      <c r="J158" s="507" t="s">
        <v>785</v>
      </c>
      <c r="K158" s="502">
        <v>0</v>
      </c>
      <c r="L158" s="502">
        <v>140000</v>
      </c>
      <c r="M158" s="502">
        <v>134862.37</v>
      </c>
      <c r="N158" s="502"/>
      <c r="O158" s="502">
        <v>0</v>
      </c>
      <c r="P158" s="502">
        <f t="shared" si="4"/>
        <v>5137.6300000000047</v>
      </c>
    </row>
    <row r="159" spans="1:16" s="504" customFormat="1" ht="14.25" x14ac:dyDescent="0.2">
      <c r="A159" s="500">
        <v>1046</v>
      </c>
      <c r="B159" s="500">
        <v>0</v>
      </c>
      <c r="C159" s="500" t="s">
        <v>980</v>
      </c>
      <c r="D159" s="500" t="s">
        <v>982</v>
      </c>
      <c r="E159" s="500" t="s">
        <v>843</v>
      </c>
      <c r="F159" s="500"/>
      <c r="G159" s="500" t="s">
        <v>799</v>
      </c>
      <c r="H159" s="500"/>
      <c r="I159" s="508" t="s">
        <v>187</v>
      </c>
      <c r="J159" s="507" t="s">
        <v>785</v>
      </c>
      <c r="K159" s="502">
        <v>0</v>
      </c>
      <c r="L159" s="502">
        <v>11500</v>
      </c>
      <c r="M159" s="502">
        <v>10741.49</v>
      </c>
      <c r="N159" s="502"/>
      <c r="O159" s="502">
        <v>0</v>
      </c>
      <c r="P159" s="502">
        <f t="shared" si="4"/>
        <v>758.51000000000022</v>
      </c>
    </row>
    <row r="160" spans="1:16" s="504" customFormat="1" ht="14.25" x14ac:dyDescent="0.2">
      <c r="A160" s="500">
        <v>1069</v>
      </c>
      <c r="B160" s="500">
        <v>0</v>
      </c>
      <c r="C160" s="500" t="s">
        <v>983</v>
      </c>
      <c r="D160" s="500" t="s">
        <v>984</v>
      </c>
      <c r="E160" s="500" t="s">
        <v>799</v>
      </c>
      <c r="F160" s="500"/>
      <c r="G160" s="500" t="s">
        <v>843</v>
      </c>
      <c r="H160" s="500"/>
      <c r="I160" s="508" t="s">
        <v>187</v>
      </c>
      <c r="J160" s="507" t="s">
        <v>785</v>
      </c>
      <c r="K160" s="502">
        <v>0</v>
      </c>
      <c r="L160" s="502">
        <v>33000</v>
      </c>
      <c r="M160" s="502">
        <v>12065.8</v>
      </c>
      <c r="N160" s="502"/>
      <c r="O160" s="502">
        <v>0</v>
      </c>
      <c r="P160" s="502">
        <f t="shared" si="4"/>
        <v>20934.2</v>
      </c>
    </row>
    <row r="161" spans="1:16" s="504" customFormat="1" ht="14.25" x14ac:dyDescent="0.2">
      <c r="A161" s="500">
        <v>1089</v>
      </c>
      <c r="B161" s="500">
        <v>0</v>
      </c>
      <c r="C161" s="500" t="s">
        <v>985</v>
      </c>
      <c r="D161" s="500" t="s">
        <v>986</v>
      </c>
      <c r="E161" s="500" t="s">
        <v>843</v>
      </c>
      <c r="F161" s="500"/>
      <c r="G161" s="500" t="s">
        <v>799</v>
      </c>
      <c r="H161" s="500"/>
      <c r="I161" s="508" t="s">
        <v>187</v>
      </c>
      <c r="J161" s="507" t="s">
        <v>785</v>
      </c>
      <c r="K161" s="502">
        <v>2537.6</v>
      </c>
      <c r="L161" s="502">
        <v>4225.6000000000004</v>
      </c>
      <c r="M161" s="502">
        <v>6763.2</v>
      </c>
      <c r="N161" s="502"/>
      <c r="O161" s="502">
        <v>0</v>
      </c>
      <c r="P161" s="502">
        <f t="shared" si="4"/>
        <v>9.0949470177292824E-13</v>
      </c>
    </row>
    <row r="162" spans="1:16" s="504" customFormat="1" ht="14.25" x14ac:dyDescent="0.2">
      <c r="A162" s="500">
        <v>1315</v>
      </c>
      <c r="B162" s="500">
        <v>0</v>
      </c>
      <c r="C162" s="500" t="s">
        <v>985</v>
      </c>
      <c r="D162" s="500" t="s">
        <v>987</v>
      </c>
      <c r="E162" s="500" t="s">
        <v>843</v>
      </c>
      <c r="F162" s="500"/>
      <c r="G162" s="500" t="s">
        <v>799</v>
      </c>
      <c r="H162" s="500"/>
      <c r="I162" s="508" t="s">
        <v>187</v>
      </c>
      <c r="J162" s="507" t="s">
        <v>785</v>
      </c>
      <c r="K162" s="502">
        <v>1005.55</v>
      </c>
      <c r="L162" s="502">
        <v>0</v>
      </c>
      <c r="M162" s="502">
        <v>0</v>
      </c>
      <c r="N162" s="502"/>
      <c r="O162" s="502">
        <v>0</v>
      </c>
      <c r="P162" s="502">
        <f t="shared" si="4"/>
        <v>1005.55</v>
      </c>
    </row>
    <row r="163" spans="1:16" s="504" customFormat="1" ht="14.25" x14ac:dyDescent="0.2">
      <c r="A163" s="500">
        <v>1320</v>
      </c>
      <c r="B163" s="500">
        <v>0</v>
      </c>
      <c r="C163" s="500" t="s">
        <v>991</v>
      </c>
      <c r="D163" s="500" t="s">
        <v>992</v>
      </c>
      <c r="E163" s="500" t="s">
        <v>993</v>
      </c>
      <c r="F163" s="500"/>
      <c r="G163" s="500" t="s">
        <v>800</v>
      </c>
      <c r="H163" s="500"/>
      <c r="I163" s="509" t="s">
        <v>177</v>
      </c>
      <c r="J163" s="507" t="s">
        <v>785</v>
      </c>
      <c r="K163" s="502">
        <v>0</v>
      </c>
      <c r="L163" s="502">
        <v>58013.279999999999</v>
      </c>
      <c r="M163" s="502">
        <v>58013.279999999999</v>
      </c>
      <c r="N163" s="502"/>
      <c r="O163" s="502">
        <v>0</v>
      </c>
      <c r="P163" s="502">
        <f t="shared" si="4"/>
        <v>0</v>
      </c>
    </row>
    <row r="164" spans="1:16" s="504" customFormat="1" ht="14.25" x14ac:dyDescent="0.2">
      <c r="A164" s="500">
        <v>1340</v>
      </c>
      <c r="B164" s="500">
        <v>0</v>
      </c>
      <c r="C164" s="500" t="s">
        <v>994</v>
      </c>
      <c r="D164" s="500" t="s">
        <v>784</v>
      </c>
      <c r="E164" s="500" t="s">
        <v>995</v>
      </c>
      <c r="F164" s="500"/>
      <c r="G164" s="500" t="s">
        <v>799</v>
      </c>
      <c r="H164" s="500"/>
      <c r="I164" s="509" t="s">
        <v>194</v>
      </c>
      <c r="J164" s="507" t="s">
        <v>785</v>
      </c>
      <c r="K164" s="502">
        <v>0</v>
      </c>
      <c r="L164" s="502">
        <v>25476.35</v>
      </c>
      <c r="M164" s="502">
        <v>25476.35</v>
      </c>
      <c r="N164" s="502"/>
      <c r="O164" s="502">
        <v>0</v>
      </c>
      <c r="P164" s="502">
        <f t="shared" si="4"/>
        <v>0</v>
      </c>
    </row>
    <row r="165" spans="1:16" s="504" customFormat="1" ht="14.25" x14ac:dyDescent="0.2">
      <c r="A165" s="500">
        <v>1330</v>
      </c>
      <c r="B165" s="500">
        <v>0</v>
      </c>
      <c r="C165" s="500" t="s">
        <v>996</v>
      </c>
      <c r="D165" s="500" t="s">
        <v>997</v>
      </c>
      <c r="E165" s="500" t="s">
        <v>995</v>
      </c>
      <c r="F165" s="500"/>
      <c r="G165" s="500" t="s">
        <v>799</v>
      </c>
      <c r="H165" s="500"/>
      <c r="I165" s="509" t="s">
        <v>195</v>
      </c>
      <c r="J165" s="507" t="s">
        <v>785</v>
      </c>
      <c r="K165" s="502">
        <v>0</v>
      </c>
      <c r="L165" s="502">
        <v>11161.58</v>
      </c>
      <c r="M165" s="502">
        <v>11161.58</v>
      </c>
      <c r="N165" s="502"/>
      <c r="O165" s="502">
        <v>0</v>
      </c>
      <c r="P165" s="502">
        <f t="shared" si="4"/>
        <v>0</v>
      </c>
    </row>
    <row r="166" spans="1:16" s="504" customFormat="1" ht="14.25" x14ac:dyDescent="0.2">
      <c r="A166" s="500">
        <v>1345</v>
      </c>
      <c r="B166" s="500">
        <v>0</v>
      </c>
      <c r="C166" s="500" t="s">
        <v>998</v>
      </c>
      <c r="D166" s="500" t="s">
        <v>790</v>
      </c>
      <c r="E166" s="500" t="s">
        <v>995</v>
      </c>
      <c r="F166" s="500"/>
      <c r="G166" s="500" t="s">
        <v>799</v>
      </c>
      <c r="H166" s="500"/>
      <c r="I166" s="509" t="s">
        <v>197</v>
      </c>
      <c r="J166" s="507" t="s">
        <v>785</v>
      </c>
      <c r="K166" s="502">
        <v>16.07</v>
      </c>
      <c r="L166" s="502">
        <v>1491.7</v>
      </c>
      <c r="M166" s="502">
        <v>1491.7</v>
      </c>
      <c r="N166" s="502"/>
      <c r="O166" s="502">
        <v>16.07</v>
      </c>
      <c r="P166" s="502">
        <f t="shared" si="4"/>
        <v>-6.3948846218409017E-14</v>
      </c>
    </row>
    <row r="167" spans="1:16" s="504" customFormat="1" ht="14.25" x14ac:dyDescent="0.2">
      <c r="A167" s="500">
        <v>1346</v>
      </c>
      <c r="B167" s="500">
        <v>0</v>
      </c>
      <c r="C167" s="500" t="s">
        <v>998</v>
      </c>
      <c r="D167" s="500" t="s">
        <v>999</v>
      </c>
      <c r="E167" s="500" t="s">
        <v>995</v>
      </c>
      <c r="F167" s="500"/>
      <c r="G167" s="500" t="s">
        <v>799</v>
      </c>
      <c r="H167" s="500"/>
      <c r="I167" s="509" t="s">
        <v>197</v>
      </c>
      <c r="J167" s="507" t="s">
        <v>785</v>
      </c>
      <c r="K167" s="502">
        <v>12.24</v>
      </c>
      <c r="L167" s="502">
        <v>971.2</v>
      </c>
      <c r="M167" s="502">
        <v>971.2</v>
      </c>
      <c r="N167" s="502"/>
      <c r="O167" s="502">
        <v>12.24</v>
      </c>
      <c r="P167" s="502">
        <f t="shared" si="4"/>
        <v>0</v>
      </c>
    </row>
    <row r="168" spans="1:16" s="504" customFormat="1" ht="14.25" x14ac:dyDescent="0.2">
      <c r="A168" s="500">
        <v>1340</v>
      </c>
      <c r="B168" s="500">
        <v>1</v>
      </c>
      <c r="C168" s="500" t="s">
        <v>1000</v>
      </c>
      <c r="D168" s="500" t="s">
        <v>1001</v>
      </c>
      <c r="E168" s="500" t="s">
        <v>995</v>
      </c>
      <c r="F168" s="500"/>
      <c r="G168" s="500" t="s">
        <v>799</v>
      </c>
      <c r="H168" s="500"/>
      <c r="I168" s="509" t="s">
        <v>194</v>
      </c>
      <c r="J168" s="507" t="s">
        <v>785</v>
      </c>
      <c r="K168" s="502">
        <v>837.04</v>
      </c>
      <c r="L168" s="502">
        <v>0</v>
      </c>
      <c r="M168" s="502">
        <v>550</v>
      </c>
      <c r="N168" s="502"/>
      <c r="O168" s="502">
        <v>287.04000000000002</v>
      </c>
      <c r="P168" s="502">
        <f t="shared" si="4"/>
        <v>0</v>
      </c>
    </row>
    <row r="169" spans="1:16" s="504" customFormat="1" ht="14.25" x14ac:dyDescent="0.2">
      <c r="A169" s="500">
        <v>1370</v>
      </c>
      <c r="B169" s="500">
        <v>0</v>
      </c>
      <c r="C169" s="500" t="s">
        <v>1002</v>
      </c>
      <c r="D169" s="500" t="s">
        <v>1003</v>
      </c>
      <c r="E169" s="500" t="s">
        <v>995</v>
      </c>
      <c r="F169" s="500"/>
      <c r="G169" s="500" t="s">
        <v>799</v>
      </c>
      <c r="H169" s="500"/>
      <c r="I169" s="508" t="s">
        <v>197</v>
      </c>
      <c r="J169" s="507" t="s">
        <v>785</v>
      </c>
      <c r="K169" s="502">
        <v>0</v>
      </c>
      <c r="L169" s="502">
        <v>4600</v>
      </c>
      <c r="M169" s="502">
        <v>4600</v>
      </c>
      <c r="N169" s="502"/>
      <c r="O169" s="502">
        <v>0</v>
      </c>
      <c r="P169" s="502">
        <f t="shared" si="4"/>
        <v>0</v>
      </c>
    </row>
    <row r="170" spans="1:16" s="504" customFormat="1" ht="14.25" x14ac:dyDescent="0.2">
      <c r="A170" s="500">
        <v>1355</v>
      </c>
      <c r="B170" s="500">
        <v>0</v>
      </c>
      <c r="C170" s="500" t="s">
        <v>1004</v>
      </c>
      <c r="D170" s="500" t="s">
        <v>1005</v>
      </c>
      <c r="E170" s="500" t="s">
        <v>995</v>
      </c>
      <c r="F170" s="500"/>
      <c r="G170" s="500" t="s">
        <v>799</v>
      </c>
      <c r="H170" s="500"/>
      <c r="I170" s="508" t="s">
        <v>197</v>
      </c>
      <c r="J170" s="507" t="s">
        <v>785</v>
      </c>
      <c r="K170" s="502">
        <v>13583.16</v>
      </c>
      <c r="L170" s="502">
        <v>86002.12</v>
      </c>
      <c r="M170" s="502">
        <v>86650.63</v>
      </c>
      <c r="N170" s="502"/>
      <c r="O170" s="502">
        <v>0</v>
      </c>
      <c r="P170" s="502">
        <f t="shared" si="4"/>
        <v>12934.649999999994</v>
      </c>
    </row>
    <row r="171" spans="1:16" s="504" customFormat="1" ht="14.25" x14ac:dyDescent="0.2">
      <c r="A171" s="500">
        <v>1360</v>
      </c>
      <c r="B171" s="500">
        <v>0</v>
      </c>
      <c r="C171" s="500" t="s">
        <v>1006</v>
      </c>
      <c r="D171" s="500" t="s">
        <v>1007</v>
      </c>
      <c r="E171" s="500" t="s">
        <v>995</v>
      </c>
      <c r="F171" s="500"/>
      <c r="G171" s="500" t="s">
        <v>799</v>
      </c>
      <c r="H171" s="500"/>
      <c r="I171" s="508" t="s">
        <v>197</v>
      </c>
      <c r="J171" s="507" t="s">
        <v>785</v>
      </c>
      <c r="K171" s="502">
        <v>261.3</v>
      </c>
      <c r="L171" s="502">
        <v>5907.29</v>
      </c>
      <c r="M171" s="502">
        <v>5907.29</v>
      </c>
      <c r="N171" s="502"/>
      <c r="O171" s="502">
        <v>261.3</v>
      </c>
      <c r="P171" s="502">
        <f t="shared" si="4"/>
        <v>0</v>
      </c>
    </row>
  </sheetData>
  <sortState ref="A43:U171">
    <sortCondition ref="J43:J171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27" workbookViewId="0">
      <selection activeCell="N37" sqref="N37"/>
    </sheetView>
  </sheetViews>
  <sheetFormatPr defaultRowHeight="15" x14ac:dyDescent="0.25"/>
  <cols>
    <col min="1" max="1" width="4.5703125" bestFit="1" customWidth="1"/>
    <col min="2" max="2" width="4.42578125" bestFit="1" customWidth="1"/>
    <col min="3" max="3" width="12.7109375" bestFit="1" customWidth="1"/>
    <col min="4" max="4" width="22.28515625" bestFit="1" customWidth="1"/>
    <col min="5" max="5" width="5.28515625" bestFit="1" customWidth="1"/>
    <col min="6" max="6" width="12.5703125" bestFit="1" customWidth="1"/>
    <col min="7" max="7" width="6" bestFit="1" customWidth="1"/>
    <col min="8" max="8" width="13.28515625" bestFit="1" customWidth="1"/>
    <col min="9" max="10" width="7.5703125" bestFit="1" customWidth="1"/>
    <col min="11" max="11" width="12.7109375" bestFit="1" customWidth="1"/>
    <col min="12" max="12" width="15.5703125" bestFit="1" customWidth="1"/>
    <col min="13" max="13" width="13.28515625" bestFit="1" customWidth="1"/>
    <col min="14" max="14" width="10.28515625" bestFit="1" customWidth="1"/>
    <col min="15" max="15" width="10.5703125" bestFit="1" customWidth="1"/>
    <col min="16" max="16" width="12.7109375" bestFit="1" customWidth="1"/>
  </cols>
  <sheetData>
    <row r="1" spans="1:17" s="203" customFormat="1" ht="30" x14ac:dyDescent="0.25">
      <c r="A1" t="s">
        <v>150</v>
      </c>
      <c r="B1" t="s">
        <v>151</v>
      </c>
      <c r="C1" s="111" t="s">
        <v>376</v>
      </c>
      <c r="D1" t="s">
        <v>383</v>
      </c>
      <c r="E1" s="187" t="s">
        <v>377</v>
      </c>
      <c r="F1" s="187" t="s">
        <v>379</v>
      </c>
      <c r="G1" s="187" t="s">
        <v>378</v>
      </c>
      <c r="H1" s="187" t="s">
        <v>380</v>
      </c>
      <c r="I1" s="111" t="s">
        <v>382</v>
      </c>
      <c r="J1" s="111" t="s">
        <v>381</v>
      </c>
      <c r="K1" s="111" t="s">
        <v>267</v>
      </c>
      <c r="L1" s="111" t="s">
        <v>220</v>
      </c>
      <c r="M1" s="111" t="s">
        <v>221</v>
      </c>
      <c r="N1" s="111" t="s">
        <v>222</v>
      </c>
      <c r="O1" s="111" t="s">
        <v>223</v>
      </c>
      <c r="P1" s="111" t="s">
        <v>268</v>
      </c>
    </row>
    <row r="3" spans="1:17" s="504" customFormat="1" ht="14.25" x14ac:dyDescent="0.2">
      <c r="A3" s="500">
        <v>11</v>
      </c>
      <c r="B3" s="500">
        <v>0</v>
      </c>
      <c r="C3" s="500" t="s">
        <v>715</v>
      </c>
      <c r="D3" s="500" t="s">
        <v>716</v>
      </c>
      <c r="E3" s="500"/>
      <c r="F3" s="500"/>
      <c r="G3" s="500"/>
      <c r="H3" s="500"/>
      <c r="I3" s="501" t="s">
        <v>153</v>
      </c>
      <c r="J3" s="501" t="s">
        <v>552</v>
      </c>
      <c r="K3" s="502">
        <v>12018.6</v>
      </c>
      <c r="L3" s="502">
        <v>275000</v>
      </c>
      <c r="M3" s="502">
        <v>276180.15000000002</v>
      </c>
      <c r="N3" s="502">
        <v>0</v>
      </c>
      <c r="O3" s="502">
        <v>0</v>
      </c>
      <c r="P3" s="502">
        <f t="shared" ref="P3:P52" si="0">K3+L3-M3+N3-O3</f>
        <v>10838.449999999953</v>
      </c>
      <c r="Q3" s="503"/>
    </row>
    <row r="4" spans="1:17" s="504" customFormat="1" ht="14.25" x14ac:dyDescent="0.2">
      <c r="A4" s="500">
        <v>13</v>
      </c>
      <c r="B4" s="500">
        <v>0</v>
      </c>
      <c r="C4" s="500" t="s">
        <v>717</v>
      </c>
      <c r="D4" s="500" t="s">
        <v>718</v>
      </c>
      <c r="E4" s="500"/>
      <c r="F4" s="500"/>
      <c r="G4" s="500"/>
      <c r="H4" s="500"/>
      <c r="I4" s="501" t="s">
        <v>153</v>
      </c>
      <c r="J4" s="501" t="s">
        <v>552</v>
      </c>
      <c r="K4" s="502">
        <v>28609.62</v>
      </c>
      <c r="L4" s="502">
        <v>26000</v>
      </c>
      <c r="M4" s="502">
        <v>49416.07</v>
      </c>
      <c r="N4" s="502">
        <v>513.41999999999996</v>
      </c>
      <c r="O4" s="502">
        <v>0</v>
      </c>
      <c r="P4" s="502">
        <f t="shared" si="0"/>
        <v>5706.9699999999957</v>
      </c>
      <c r="Q4" s="503"/>
    </row>
    <row r="5" spans="1:17" s="504" customFormat="1" ht="14.25" x14ac:dyDescent="0.2">
      <c r="A5" s="500">
        <v>46</v>
      </c>
      <c r="B5" s="500">
        <v>0</v>
      </c>
      <c r="C5" s="500" t="s">
        <v>719</v>
      </c>
      <c r="D5" s="500" t="s">
        <v>720</v>
      </c>
      <c r="E5" s="500"/>
      <c r="F5" s="500"/>
      <c r="G5" s="500"/>
      <c r="H5" s="500"/>
      <c r="I5" s="501" t="s">
        <v>153</v>
      </c>
      <c r="J5" s="501" t="s">
        <v>552</v>
      </c>
      <c r="K5" s="502">
        <v>2373.81</v>
      </c>
      <c r="L5" s="502">
        <v>75000</v>
      </c>
      <c r="M5" s="502">
        <v>69137.64</v>
      </c>
      <c r="N5" s="502">
        <v>0.3</v>
      </c>
      <c r="O5" s="502">
        <v>0</v>
      </c>
      <c r="P5" s="502">
        <f t="shared" si="0"/>
        <v>8236.4699999999975</v>
      </c>
      <c r="Q5" s="503"/>
    </row>
    <row r="6" spans="1:17" s="504" customFormat="1" ht="14.25" x14ac:dyDescent="0.2">
      <c r="A6" s="500">
        <v>70</v>
      </c>
      <c r="B6" s="500">
        <v>0</v>
      </c>
      <c r="C6" s="500" t="s">
        <v>721</v>
      </c>
      <c r="D6" s="500" t="s">
        <v>722</v>
      </c>
      <c r="E6" s="500"/>
      <c r="F6" s="500"/>
      <c r="G6" s="500"/>
      <c r="H6" s="500"/>
      <c r="I6" s="501" t="s">
        <v>153</v>
      </c>
      <c r="J6" s="501" t="s">
        <v>552</v>
      </c>
      <c r="K6" s="502">
        <v>11566.12</v>
      </c>
      <c r="L6" s="502">
        <v>78000</v>
      </c>
      <c r="M6" s="502">
        <v>76247.98</v>
      </c>
      <c r="N6" s="502">
        <v>0</v>
      </c>
      <c r="O6" s="502">
        <v>0</v>
      </c>
      <c r="P6" s="502">
        <f t="shared" si="0"/>
        <v>13318.14</v>
      </c>
      <c r="Q6" s="503"/>
    </row>
    <row r="7" spans="1:17" s="504" customFormat="1" ht="14.25" x14ac:dyDescent="0.2">
      <c r="A7" s="500">
        <v>48</v>
      </c>
      <c r="B7" s="500">
        <v>0</v>
      </c>
      <c r="C7" s="500" t="s">
        <v>723</v>
      </c>
      <c r="D7" s="500" t="s">
        <v>724</v>
      </c>
      <c r="E7" s="500"/>
      <c r="F7" s="500"/>
      <c r="G7" s="500"/>
      <c r="H7" s="500"/>
      <c r="I7" s="501" t="s">
        <v>153</v>
      </c>
      <c r="J7" s="501" t="s">
        <v>552</v>
      </c>
      <c r="K7" s="502">
        <v>0</v>
      </c>
      <c r="L7" s="502">
        <v>538.51</v>
      </c>
      <c r="M7" s="502">
        <v>538.51</v>
      </c>
      <c r="N7" s="502">
        <v>0</v>
      </c>
      <c r="O7" s="502">
        <v>0</v>
      </c>
      <c r="P7" s="502">
        <f t="shared" si="0"/>
        <v>0</v>
      </c>
      <c r="Q7" s="503"/>
    </row>
    <row r="8" spans="1:17" s="504" customFormat="1" ht="14.25" x14ac:dyDescent="0.2">
      <c r="A8" s="500">
        <v>82</v>
      </c>
      <c r="B8" s="500">
        <v>0</v>
      </c>
      <c r="C8" s="500" t="s">
        <v>725</v>
      </c>
      <c r="D8" s="500" t="s">
        <v>726</v>
      </c>
      <c r="E8" s="500"/>
      <c r="F8" s="500"/>
      <c r="G8" s="500"/>
      <c r="H8" s="500"/>
      <c r="I8" s="501" t="s">
        <v>155</v>
      </c>
      <c r="J8" s="501" t="s">
        <v>551</v>
      </c>
      <c r="K8" s="502">
        <v>0</v>
      </c>
      <c r="L8" s="502">
        <v>7668.12</v>
      </c>
      <c r="M8" s="502">
        <v>7668.12</v>
      </c>
      <c r="N8" s="502">
        <v>0</v>
      </c>
      <c r="O8" s="502">
        <v>0</v>
      </c>
      <c r="P8" s="502">
        <f t="shared" si="0"/>
        <v>0</v>
      </c>
      <c r="Q8" s="503"/>
    </row>
    <row r="9" spans="1:17" s="504" customFormat="1" ht="14.25" x14ac:dyDescent="0.2">
      <c r="A9" s="500">
        <v>90</v>
      </c>
      <c r="B9" s="500">
        <v>0</v>
      </c>
      <c r="C9" s="500" t="s">
        <v>727</v>
      </c>
      <c r="D9" s="500" t="s">
        <v>728</v>
      </c>
      <c r="E9" s="500"/>
      <c r="F9" s="500"/>
      <c r="G9" s="500"/>
      <c r="H9" s="500"/>
      <c r="I9" s="501" t="s">
        <v>155</v>
      </c>
      <c r="J9" s="501" t="s">
        <v>551</v>
      </c>
      <c r="K9" s="502">
        <v>0</v>
      </c>
      <c r="L9" s="502">
        <v>29803.32</v>
      </c>
      <c r="M9" s="502">
        <v>29803.32</v>
      </c>
      <c r="N9" s="502">
        <v>0</v>
      </c>
      <c r="O9" s="502">
        <v>0</v>
      </c>
      <c r="P9" s="502">
        <f t="shared" si="0"/>
        <v>0</v>
      </c>
      <c r="Q9" s="503"/>
    </row>
    <row r="10" spans="1:17" s="504" customFormat="1" ht="14.25" x14ac:dyDescent="0.2">
      <c r="A10" s="500">
        <v>113</v>
      </c>
      <c r="B10" s="500">
        <v>0</v>
      </c>
      <c r="C10" s="500" t="s">
        <v>727</v>
      </c>
      <c r="D10" s="500" t="s">
        <v>729</v>
      </c>
      <c r="E10" s="500"/>
      <c r="F10" s="500"/>
      <c r="G10" s="500"/>
      <c r="H10" s="500"/>
      <c r="I10" s="501" t="s">
        <v>155</v>
      </c>
      <c r="J10" s="501" t="s">
        <v>551</v>
      </c>
      <c r="K10" s="502">
        <v>15000</v>
      </c>
      <c r="L10" s="502">
        <v>52729</v>
      </c>
      <c r="M10" s="502">
        <v>67729</v>
      </c>
      <c r="N10" s="502">
        <v>0</v>
      </c>
      <c r="O10" s="502">
        <v>0</v>
      </c>
      <c r="P10" s="502">
        <f t="shared" si="0"/>
        <v>0</v>
      </c>
      <c r="Q10" s="503"/>
    </row>
    <row r="11" spans="1:17" s="504" customFormat="1" ht="14.25" x14ac:dyDescent="0.2">
      <c r="A11" s="500">
        <v>112</v>
      </c>
      <c r="B11" s="500">
        <v>0</v>
      </c>
      <c r="C11" s="500" t="s">
        <v>730</v>
      </c>
      <c r="D11" s="500" t="s">
        <v>731</v>
      </c>
      <c r="E11" s="500"/>
      <c r="F11" s="500"/>
      <c r="G11" s="500"/>
      <c r="H11" s="500"/>
      <c r="I11" s="501" t="s">
        <v>155</v>
      </c>
      <c r="J11" s="501" t="s">
        <v>551</v>
      </c>
      <c r="K11" s="502">
        <v>9100</v>
      </c>
      <c r="L11" s="502">
        <v>0</v>
      </c>
      <c r="M11" s="502">
        <v>9100</v>
      </c>
      <c r="N11" s="502">
        <v>0</v>
      </c>
      <c r="O11" s="502">
        <v>0</v>
      </c>
      <c r="P11" s="502">
        <f t="shared" si="0"/>
        <v>0</v>
      </c>
      <c r="Q11" s="503"/>
    </row>
    <row r="12" spans="1:17" s="504" customFormat="1" ht="14.25" x14ac:dyDescent="0.2">
      <c r="A12" s="500">
        <v>155</v>
      </c>
      <c r="B12" s="500">
        <v>0</v>
      </c>
      <c r="C12" s="500" t="s">
        <v>732</v>
      </c>
      <c r="D12" s="500" t="s">
        <v>733</v>
      </c>
      <c r="E12" s="500"/>
      <c r="F12" s="500"/>
      <c r="G12" s="500"/>
      <c r="H12" s="500"/>
      <c r="I12" s="501" t="s">
        <v>155</v>
      </c>
      <c r="J12" s="501" t="s">
        <v>551</v>
      </c>
      <c r="K12" s="502">
        <v>0</v>
      </c>
      <c r="L12" s="502">
        <v>2527</v>
      </c>
      <c r="M12" s="502">
        <v>0</v>
      </c>
      <c r="N12" s="502">
        <v>0</v>
      </c>
      <c r="O12" s="502">
        <v>0</v>
      </c>
      <c r="P12" s="502">
        <f t="shared" si="0"/>
        <v>2527</v>
      </c>
      <c r="Q12" s="503"/>
    </row>
    <row r="13" spans="1:17" s="504" customFormat="1" ht="14.25" x14ac:dyDescent="0.2">
      <c r="A13" s="500">
        <v>122</v>
      </c>
      <c r="B13" s="500">
        <v>0</v>
      </c>
      <c r="C13" s="500" t="s">
        <v>734</v>
      </c>
      <c r="D13" s="500" t="s">
        <v>735</v>
      </c>
      <c r="E13" s="500"/>
      <c r="F13" s="500"/>
      <c r="G13" s="500"/>
      <c r="H13" s="500"/>
      <c r="I13" s="501" t="s">
        <v>162</v>
      </c>
      <c r="J13" s="501" t="s">
        <v>551</v>
      </c>
      <c r="K13" s="502">
        <v>5000</v>
      </c>
      <c r="L13" s="502">
        <v>0</v>
      </c>
      <c r="M13" s="502">
        <v>0</v>
      </c>
      <c r="N13" s="502">
        <v>0</v>
      </c>
      <c r="O13" s="502">
        <v>0</v>
      </c>
      <c r="P13" s="502">
        <f t="shared" si="0"/>
        <v>5000</v>
      </c>
      <c r="Q13" s="503"/>
    </row>
    <row r="14" spans="1:17" s="504" customFormat="1" ht="14.25" x14ac:dyDescent="0.2">
      <c r="A14" s="500">
        <v>270</v>
      </c>
      <c r="B14" s="500">
        <v>0</v>
      </c>
      <c r="C14" s="500" t="s">
        <v>736</v>
      </c>
      <c r="D14" s="500" t="s">
        <v>737</v>
      </c>
      <c r="E14" s="500"/>
      <c r="F14" s="500"/>
      <c r="G14" s="500"/>
      <c r="H14" s="500"/>
      <c r="I14" s="501" t="s">
        <v>163</v>
      </c>
      <c r="J14" s="505" t="s">
        <v>549</v>
      </c>
      <c r="K14" s="502">
        <v>0</v>
      </c>
      <c r="L14" s="502">
        <v>3290</v>
      </c>
      <c r="M14" s="502">
        <v>3290</v>
      </c>
      <c r="N14" s="502">
        <v>0</v>
      </c>
      <c r="O14" s="502">
        <v>0</v>
      </c>
      <c r="P14" s="502">
        <f t="shared" si="0"/>
        <v>0</v>
      </c>
      <c r="Q14" s="503"/>
    </row>
    <row r="15" spans="1:17" s="504" customFormat="1" ht="14.25" x14ac:dyDescent="0.2">
      <c r="A15" s="500">
        <v>220</v>
      </c>
      <c r="B15" s="500">
        <v>0</v>
      </c>
      <c r="C15" s="500" t="s">
        <v>738</v>
      </c>
      <c r="D15" s="500" t="s">
        <v>739</v>
      </c>
      <c r="E15" s="500"/>
      <c r="F15" s="500"/>
      <c r="G15" s="500"/>
      <c r="H15" s="500"/>
      <c r="I15" s="501" t="s">
        <v>163</v>
      </c>
      <c r="J15" s="505" t="s">
        <v>549</v>
      </c>
      <c r="K15" s="502">
        <v>134</v>
      </c>
      <c r="L15" s="502">
        <v>2498</v>
      </c>
      <c r="M15" s="502">
        <v>2632</v>
      </c>
      <c r="N15" s="502">
        <v>0</v>
      </c>
      <c r="O15" s="502">
        <v>0</v>
      </c>
      <c r="P15" s="502">
        <f t="shared" si="0"/>
        <v>0</v>
      </c>
      <c r="Q15" s="503"/>
    </row>
    <row r="16" spans="1:17" s="504" customFormat="1" ht="14.25" x14ac:dyDescent="0.2">
      <c r="A16" s="500">
        <v>216</v>
      </c>
      <c r="B16" s="500">
        <v>0</v>
      </c>
      <c r="C16" s="500" t="s">
        <v>740</v>
      </c>
      <c r="D16" s="500" t="s">
        <v>741</v>
      </c>
      <c r="E16" s="500"/>
      <c r="F16" s="500"/>
      <c r="G16" s="500"/>
      <c r="H16" s="500"/>
      <c r="I16" s="501" t="s">
        <v>163</v>
      </c>
      <c r="J16" s="505" t="s">
        <v>549</v>
      </c>
      <c r="K16" s="502">
        <v>500</v>
      </c>
      <c r="L16" s="502">
        <v>0</v>
      </c>
      <c r="M16" s="502">
        <v>0</v>
      </c>
      <c r="N16" s="502">
        <v>0</v>
      </c>
      <c r="O16" s="502">
        <v>500</v>
      </c>
      <c r="P16" s="502">
        <f t="shared" si="0"/>
        <v>0</v>
      </c>
      <c r="Q16" s="503"/>
    </row>
    <row r="17" spans="1:17" s="504" customFormat="1" ht="14.25" x14ac:dyDescent="0.2">
      <c r="A17" s="500">
        <v>170</v>
      </c>
      <c r="B17" s="500">
        <v>0</v>
      </c>
      <c r="C17" s="500" t="s">
        <v>742</v>
      </c>
      <c r="D17" s="500" t="s">
        <v>743</v>
      </c>
      <c r="E17" s="500"/>
      <c r="F17" s="500"/>
      <c r="G17" s="500"/>
      <c r="H17" s="500"/>
      <c r="I17" s="501" t="s">
        <v>163</v>
      </c>
      <c r="J17" s="505" t="s">
        <v>549</v>
      </c>
      <c r="K17" s="502">
        <v>20.8</v>
      </c>
      <c r="L17" s="502">
        <v>265.45999999999998</v>
      </c>
      <c r="M17" s="502">
        <v>267.8</v>
      </c>
      <c r="N17" s="502">
        <v>0</v>
      </c>
      <c r="O17" s="502">
        <v>0</v>
      </c>
      <c r="P17" s="502">
        <f t="shared" si="0"/>
        <v>18.45999999999998</v>
      </c>
      <c r="Q17" s="503"/>
    </row>
    <row r="18" spans="1:17" s="504" customFormat="1" ht="14.25" x14ac:dyDescent="0.2">
      <c r="A18" s="500">
        <v>180</v>
      </c>
      <c r="B18" s="500">
        <v>0</v>
      </c>
      <c r="C18" s="500" t="s">
        <v>742</v>
      </c>
      <c r="D18" s="500" t="s">
        <v>744</v>
      </c>
      <c r="E18" s="500"/>
      <c r="F18" s="500"/>
      <c r="G18" s="500"/>
      <c r="H18" s="500"/>
      <c r="I18" s="501" t="s">
        <v>163</v>
      </c>
      <c r="J18" s="505" t="s">
        <v>549</v>
      </c>
      <c r="K18" s="502">
        <v>375</v>
      </c>
      <c r="L18" s="502">
        <v>3925</v>
      </c>
      <c r="M18" s="502">
        <v>4095</v>
      </c>
      <c r="N18" s="502">
        <v>0</v>
      </c>
      <c r="O18" s="502">
        <v>0</v>
      </c>
      <c r="P18" s="502">
        <f t="shared" si="0"/>
        <v>205</v>
      </c>
      <c r="Q18" s="503"/>
    </row>
    <row r="19" spans="1:17" s="504" customFormat="1" ht="14.25" x14ac:dyDescent="0.2">
      <c r="A19" s="500">
        <v>200</v>
      </c>
      <c r="B19" s="500">
        <v>0</v>
      </c>
      <c r="C19" s="500" t="s">
        <v>742</v>
      </c>
      <c r="D19" s="500" t="s">
        <v>745</v>
      </c>
      <c r="E19" s="500"/>
      <c r="F19" s="500"/>
      <c r="G19" s="500"/>
      <c r="H19" s="500"/>
      <c r="I19" s="501" t="s">
        <v>163</v>
      </c>
      <c r="J19" s="505" t="s">
        <v>549</v>
      </c>
      <c r="K19" s="502">
        <v>1126.5999999999999</v>
      </c>
      <c r="L19" s="502">
        <v>1853</v>
      </c>
      <c r="M19" s="502">
        <v>1350.39</v>
      </c>
      <c r="N19" s="502">
        <v>0</v>
      </c>
      <c r="O19" s="502">
        <v>0</v>
      </c>
      <c r="P19" s="502">
        <f t="shared" si="0"/>
        <v>1629.2099999999998</v>
      </c>
      <c r="Q19" s="503"/>
    </row>
    <row r="20" spans="1:17" s="504" customFormat="1" ht="14.25" x14ac:dyDescent="0.2">
      <c r="A20" s="500">
        <v>275</v>
      </c>
      <c r="B20" s="500">
        <v>0</v>
      </c>
      <c r="C20" s="500" t="s">
        <v>746</v>
      </c>
      <c r="D20" s="500" t="s">
        <v>747</v>
      </c>
      <c r="E20" s="500"/>
      <c r="F20" s="500"/>
      <c r="G20" s="500"/>
      <c r="H20" s="500"/>
      <c r="I20" s="501" t="s">
        <v>163</v>
      </c>
      <c r="J20" s="505" t="s">
        <v>549</v>
      </c>
      <c r="K20" s="502">
        <v>8000</v>
      </c>
      <c r="L20" s="502">
        <v>2000</v>
      </c>
      <c r="M20" s="502">
        <v>3586.97</v>
      </c>
      <c r="N20" s="502">
        <v>0</v>
      </c>
      <c r="O20" s="502">
        <v>4413.03</v>
      </c>
      <c r="P20" s="502">
        <f t="shared" si="0"/>
        <v>2000.0000000000009</v>
      </c>
      <c r="Q20" s="503"/>
    </row>
    <row r="21" spans="1:17" s="504" customFormat="1" ht="14.25" x14ac:dyDescent="0.2">
      <c r="A21" s="500">
        <v>35</v>
      </c>
      <c r="B21" s="500">
        <v>0</v>
      </c>
      <c r="C21" s="500" t="s">
        <v>748</v>
      </c>
      <c r="D21" s="500" t="s">
        <v>749</v>
      </c>
      <c r="E21" s="500"/>
      <c r="F21" s="500"/>
      <c r="G21" s="500"/>
      <c r="H21" s="500"/>
      <c r="I21" s="501" t="s">
        <v>163</v>
      </c>
      <c r="J21" s="506" t="s">
        <v>547</v>
      </c>
      <c r="K21" s="502">
        <v>0</v>
      </c>
      <c r="L21" s="502">
        <v>5345.04</v>
      </c>
      <c r="M21" s="502">
        <v>5345.04</v>
      </c>
      <c r="N21" s="502">
        <v>0</v>
      </c>
      <c r="O21" s="502">
        <v>0</v>
      </c>
      <c r="P21" s="502">
        <f t="shared" si="0"/>
        <v>0</v>
      </c>
      <c r="Q21" s="503"/>
    </row>
    <row r="22" spans="1:17" s="504" customFormat="1" ht="14.25" x14ac:dyDescent="0.2">
      <c r="A22" s="500">
        <v>290</v>
      </c>
      <c r="B22" s="500">
        <v>0</v>
      </c>
      <c r="C22" s="500" t="s">
        <v>750</v>
      </c>
      <c r="D22" s="500" t="s">
        <v>751</v>
      </c>
      <c r="E22" s="500"/>
      <c r="F22" s="500"/>
      <c r="G22" s="500"/>
      <c r="H22" s="500"/>
      <c r="I22" s="501" t="s">
        <v>163</v>
      </c>
      <c r="J22" s="506" t="s">
        <v>547</v>
      </c>
      <c r="K22" s="502">
        <v>0</v>
      </c>
      <c r="L22" s="502">
        <v>800</v>
      </c>
      <c r="M22" s="502">
        <v>0</v>
      </c>
      <c r="N22" s="502">
        <v>0</v>
      </c>
      <c r="O22" s="502">
        <v>0</v>
      </c>
      <c r="P22" s="502">
        <f t="shared" si="0"/>
        <v>800</v>
      </c>
      <c r="Q22" s="503"/>
    </row>
    <row r="23" spans="1:17" s="504" customFormat="1" ht="14.25" x14ac:dyDescent="0.2">
      <c r="A23" s="500">
        <v>335</v>
      </c>
      <c r="B23" s="500">
        <v>0</v>
      </c>
      <c r="C23" s="500" t="s">
        <v>750</v>
      </c>
      <c r="D23" s="500" t="s">
        <v>752</v>
      </c>
      <c r="E23" s="500"/>
      <c r="F23" s="500"/>
      <c r="G23" s="500"/>
      <c r="H23" s="500"/>
      <c r="I23" s="501" t="s">
        <v>163</v>
      </c>
      <c r="J23" s="506" t="s">
        <v>547</v>
      </c>
      <c r="K23" s="502">
        <v>14600</v>
      </c>
      <c r="L23" s="502">
        <v>11973.43</v>
      </c>
      <c r="M23" s="502">
        <v>11973.42</v>
      </c>
      <c r="N23" s="502">
        <v>0</v>
      </c>
      <c r="O23" s="502">
        <v>2626.58</v>
      </c>
      <c r="P23" s="502">
        <f t="shared" si="0"/>
        <v>11973.43</v>
      </c>
      <c r="Q23" s="503"/>
    </row>
    <row r="24" spans="1:17" s="504" customFormat="1" ht="14.25" x14ac:dyDescent="0.2">
      <c r="A24" s="500">
        <v>337</v>
      </c>
      <c r="B24" s="500">
        <v>0</v>
      </c>
      <c r="C24" s="500" t="s">
        <v>750</v>
      </c>
      <c r="D24" s="500" t="s">
        <v>753</v>
      </c>
      <c r="E24" s="500"/>
      <c r="F24" s="500"/>
      <c r="G24" s="500"/>
      <c r="H24" s="500"/>
      <c r="I24" s="501" t="s">
        <v>163</v>
      </c>
      <c r="J24" s="506" t="s">
        <v>547</v>
      </c>
      <c r="K24" s="502">
        <v>1250</v>
      </c>
      <c r="L24" s="502">
        <v>5650</v>
      </c>
      <c r="M24" s="502">
        <v>5850</v>
      </c>
      <c r="N24" s="502">
        <v>0</v>
      </c>
      <c r="O24" s="502">
        <v>1050</v>
      </c>
      <c r="P24" s="502">
        <f t="shared" si="0"/>
        <v>0</v>
      </c>
      <c r="Q24" s="503"/>
    </row>
    <row r="25" spans="1:17" s="504" customFormat="1" ht="14.25" x14ac:dyDescent="0.2">
      <c r="A25" s="500">
        <v>320</v>
      </c>
      <c r="B25" s="500">
        <v>0</v>
      </c>
      <c r="C25" s="500" t="s">
        <v>754</v>
      </c>
      <c r="D25" s="500" t="s">
        <v>755</v>
      </c>
      <c r="E25" s="500"/>
      <c r="F25" s="500"/>
      <c r="G25" s="500"/>
      <c r="H25" s="500"/>
      <c r="I25" s="501" t="s">
        <v>169</v>
      </c>
      <c r="J25" s="506" t="s">
        <v>558</v>
      </c>
      <c r="K25" s="502">
        <v>0</v>
      </c>
      <c r="L25" s="502">
        <v>0.11</v>
      </c>
      <c r="M25" s="502">
        <v>0.11</v>
      </c>
      <c r="N25" s="502">
        <v>0</v>
      </c>
      <c r="O25" s="502">
        <v>0</v>
      </c>
      <c r="P25" s="502">
        <f t="shared" si="0"/>
        <v>0</v>
      </c>
      <c r="Q25" s="503"/>
    </row>
    <row r="26" spans="1:17" s="504" customFormat="1" ht="14.25" x14ac:dyDescent="0.2">
      <c r="A26" s="500">
        <v>210</v>
      </c>
      <c r="B26" s="500">
        <v>0</v>
      </c>
      <c r="C26" s="500" t="s">
        <v>756</v>
      </c>
      <c r="D26" s="500" t="s">
        <v>757</v>
      </c>
      <c r="E26" s="500"/>
      <c r="F26" s="500"/>
      <c r="G26" s="500"/>
      <c r="H26" s="500"/>
      <c r="I26" s="501" t="s">
        <v>169</v>
      </c>
      <c r="J26" s="506" t="s">
        <v>550</v>
      </c>
      <c r="K26" s="502">
        <v>0</v>
      </c>
      <c r="L26" s="502">
        <v>1200</v>
      </c>
      <c r="M26" s="502">
        <v>700</v>
      </c>
      <c r="N26" s="502">
        <v>0</v>
      </c>
      <c r="O26" s="502">
        <v>0</v>
      </c>
      <c r="P26" s="502">
        <f t="shared" si="0"/>
        <v>500</v>
      </c>
      <c r="Q26" s="503"/>
    </row>
    <row r="27" spans="1:17" s="504" customFormat="1" ht="14.25" x14ac:dyDescent="0.2">
      <c r="A27" s="500">
        <v>260</v>
      </c>
      <c r="B27" s="500">
        <v>0</v>
      </c>
      <c r="C27" s="500" t="s">
        <v>756</v>
      </c>
      <c r="D27" s="500" t="s">
        <v>758</v>
      </c>
      <c r="E27" s="500"/>
      <c r="F27" s="500"/>
      <c r="G27" s="500"/>
      <c r="H27" s="500"/>
      <c r="I27" s="501" t="s">
        <v>169</v>
      </c>
      <c r="J27" s="506" t="s">
        <v>550</v>
      </c>
      <c r="K27" s="502">
        <v>5402.54</v>
      </c>
      <c r="L27" s="502">
        <v>15099.92</v>
      </c>
      <c r="M27" s="502">
        <v>20488.580000000002</v>
      </c>
      <c r="N27" s="502">
        <v>448.38</v>
      </c>
      <c r="O27" s="502">
        <v>0</v>
      </c>
      <c r="P27" s="502">
        <f t="shared" si="0"/>
        <v>462.25999999999738</v>
      </c>
      <c r="Q27" s="503"/>
    </row>
    <row r="28" spans="1:17" s="504" customFormat="1" ht="14.25" x14ac:dyDescent="0.2">
      <c r="A28" s="500">
        <v>330</v>
      </c>
      <c r="B28" s="500">
        <v>0</v>
      </c>
      <c r="C28" s="500" t="s">
        <v>756</v>
      </c>
      <c r="D28" s="500" t="s">
        <v>759</v>
      </c>
      <c r="E28" s="500"/>
      <c r="F28" s="500"/>
      <c r="G28" s="500"/>
      <c r="H28" s="500"/>
      <c r="I28" s="501" t="s">
        <v>169</v>
      </c>
      <c r="J28" s="506" t="s">
        <v>550</v>
      </c>
      <c r="K28" s="502">
        <v>28.86</v>
      </c>
      <c r="L28" s="502">
        <v>124.06</v>
      </c>
      <c r="M28" s="502">
        <v>152.91999999999999</v>
      </c>
      <c r="N28" s="502">
        <v>0</v>
      </c>
      <c r="O28" s="502">
        <v>0</v>
      </c>
      <c r="P28" s="502">
        <f t="shared" si="0"/>
        <v>2.8421709430404007E-14</v>
      </c>
      <c r="Q28" s="503"/>
    </row>
    <row r="29" spans="1:17" s="504" customFormat="1" ht="14.25" x14ac:dyDescent="0.2">
      <c r="A29" s="500">
        <v>344</v>
      </c>
      <c r="B29" s="500">
        <v>0</v>
      </c>
      <c r="C29" s="500" t="s">
        <v>760</v>
      </c>
      <c r="D29" s="500" t="s">
        <v>761</v>
      </c>
      <c r="E29" s="500"/>
      <c r="F29" s="500"/>
      <c r="G29" s="500"/>
      <c r="H29" s="500"/>
      <c r="I29" s="501" t="s">
        <v>155</v>
      </c>
      <c r="J29" s="506" t="s">
        <v>554</v>
      </c>
      <c r="K29" s="502">
        <v>7030</v>
      </c>
      <c r="L29" s="502">
        <v>0</v>
      </c>
      <c r="M29" s="502">
        <v>0</v>
      </c>
      <c r="N29" s="502">
        <v>0</v>
      </c>
      <c r="O29" s="502">
        <v>0</v>
      </c>
      <c r="P29" s="502">
        <f t="shared" si="0"/>
        <v>7030</v>
      </c>
      <c r="Q29" s="503"/>
    </row>
    <row r="30" spans="1:17" s="504" customFormat="1" ht="14.25" x14ac:dyDescent="0.2">
      <c r="A30" s="500">
        <v>378</v>
      </c>
      <c r="B30" s="500">
        <v>0</v>
      </c>
      <c r="C30" s="500" t="s">
        <v>760</v>
      </c>
      <c r="D30" s="500" t="s">
        <v>762</v>
      </c>
      <c r="E30" s="500"/>
      <c r="F30" s="500"/>
      <c r="G30" s="500"/>
      <c r="H30" s="500"/>
      <c r="I30" s="501" t="s">
        <v>155</v>
      </c>
      <c r="J30" s="506" t="s">
        <v>554</v>
      </c>
      <c r="K30" s="502">
        <v>1000</v>
      </c>
      <c r="L30" s="502">
        <v>0</v>
      </c>
      <c r="M30" s="502">
        <v>0</v>
      </c>
      <c r="N30" s="502">
        <v>0</v>
      </c>
      <c r="O30" s="502">
        <v>0</v>
      </c>
      <c r="P30" s="502">
        <f t="shared" si="0"/>
        <v>1000</v>
      </c>
      <c r="Q30" s="503"/>
    </row>
    <row r="31" spans="1:17" s="504" customFormat="1" ht="14.25" x14ac:dyDescent="0.2">
      <c r="A31" s="500">
        <v>397</v>
      </c>
      <c r="B31" s="500">
        <v>0</v>
      </c>
      <c r="C31" s="500" t="s">
        <v>760</v>
      </c>
      <c r="D31" s="500" t="s">
        <v>763</v>
      </c>
      <c r="E31" s="500"/>
      <c r="F31" s="500"/>
      <c r="G31" s="500"/>
      <c r="H31" s="500"/>
      <c r="I31" s="501" t="s">
        <v>155</v>
      </c>
      <c r="J31" s="506" t="s">
        <v>554</v>
      </c>
      <c r="K31" s="502">
        <v>194432.62</v>
      </c>
      <c r="L31" s="502">
        <v>0</v>
      </c>
      <c r="M31" s="502">
        <v>77759.14</v>
      </c>
      <c r="N31" s="502">
        <v>0</v>
      </c>
      <c r="O31" s="502">
        <v>0</v>
      </c>
      <c r="P31" s="502">
        <f t="shared" si="0"/>
        <v>116673.48</v>
      </c>
      <c r="Q31" s="503"/>
    </row>
    <row r="32" spans="1:17" s="504" customFormat="1" ht="14.25" x14ac:dyDescent="0.2">
      <c r="A32" s="500">
        <v>452</v>
      </c>
      <c r="B32" s="500">
        <v>0</v>
      </c>
      <c r="C32" s="500" t="s">
        <v>760</v>
      </c>
      <c r="D32" s="500" t="s">
        <v>764</v>
      </c>
      <c r="E32" s="500"/>
      <c r="F32" s="500"/>
      <c r="G32" s="500"/>
      <c r="H32" s="500"/>
      <c r="I32" s="501" t="s">
        <v>155</v>
      </c>
      <c r="J32" s="506" t="s">
        <v>554</v>
      </c>
      <c r="K32" s="502">
        <v>0</v>
      </c>
      <c r="L32" s="502">
        <v>33000</v>
      </c>
      <c r="M32" s="502">
        <v>8434</v>
      </c>
      <c r="N32" s="502">
        <v>0</v>
      </c>
      <c r="O32" s="502">
        <v>0</v>
      </c>
      <c r="P32" s="502">
        <f t="shared" si="0"/>
        <v>24566</v>
      </c>
      <c r="Q32" s="503"/>
    </row>
    <row r="33" spans="1:17" s="504" customFormat="1" ht="14.25" x14ac:dyDescent="0.2">
      <c r="A33" s="500">
        <v>453</v>
      </c>
      <c r="B33" s="500">
        <v>0</v>
      </c>
      <c r="C33" s="500" t="s">
        <v>760</v>
      </c>
      <c r="D33" s="500" t="s">
        <v>765</v>
      </c>
      <c r="E33" s="500"/>
      <c r="F33" s="500"/>
      <c r="G33" s="500"/>
      <c r="H33" s="500"/>
      <c r="I33" s="501" t="s">
        <v>155</v>
      </c>
      <c r="J33" s="506" t="s">
        <v>554</v>
      </c>
      <c r="K33" s="502">
        <v>2806</v>
      </c>
      <c r="L33" s="502">
        <v>0</v>
      </c>
      <c r="M33" s="502">
        <v>0</v>
      </c>
      <c r="N33" s="502">
        <v>0</v>
      </c>
      <c r="O33" s="502">
        <v>0</v>
      </c>
      <c r="P33" s="502">
        <f t="shared" si="0"/>
        <v>2806</v>
      </c>
      <c r="Q33" s="503"/>
    </row>
    <row r="34" spans="1:17" s="504" customFormat="1" ht="14.25" x14ac:dyDescent="0.2">
      <c r="A34" s="500">
        <v>1128</v>
      </c>
      <c r="B34" s="500">
        <v>0</v>
      </c>
      <c r="C34" s="500" t="s">
        <v>760</v>
      </c>
      <c r="D34" s="500" t="s">
        <v>766</v>
      </c>
      <c r="E34" s="500"/>
      <c r="F34" s="500"/>
      <c r="G34" s="500"/>
      <c r="H34" s="500"/>
      <c r="I34" s="501" t="s">
        <v>155</v>
      </c>
      <c r="J34" s="506" t="s">
        <v>554</v>
      </c>
      <c r="K34" s="502">
        <v>71190.8</v>
      </c>
      <c r="L34" s="502">
        <v>0</v>
      </c>
      <c r="M34" s="502">
        <v>41252.85</v>
      </c>
      <c r="N34" s="502">
        <v>0</v>
      </c>
      <c r="O34" s="502">
        <v>0</v>
      </c>
      <c r="P34" s="502">
        <f t="shared" si="0"/>
        <v>29937.950000000004</v>
      </c>
      <c r="Q34" s="503"/>
    </row>
    <row r="35" spans="1:17" s="504" customFormat="1" ht="14.25" x14ac:dyDescent="0.2">
      <c r="A35" s="500">
        <v>1131</v>
      </c>
      <c r="B35" s="500">
        <v>0</v>
      </c>
      <c r="C35" s="500" t="s">
        <v>760</v>
      </c>
      <c r="D35" s="500" t="s">
        <v>767</v>
      </c>
      <c r="E35" s="500"/>
      <c r="F35" s="500"/>
      <c r="G35" s="500"/>
      <c r="H35" s="500"/>
      <c r="I35" s="501" t="s">
        <v>155</v>
      </c>
      <c r="J35" s="506" t="s">
        <v>554</v>
      </c>
      <c r="K35" s="502">
        <v>100650</v>
      </c>
      <c r="L35" s="502">
        <v>0</v>
      </c>
      <c r="M35" s="502">
        <v>50000</v>
      </c>
      <c r="N35" s="502">
        <v>0</v>
      </c>
      <c r="O35" s="502">
        <v>0</v>
      </c>
      <c r="P35" s="502">
        <f t="shared" si="0"/>
        <v>50650</v>
      </c>
      <c r="Q35" s="503"/>
    </row>
    <row r="36" spans="1:17" s="504" customFormat="1" ht="14.25" x14ac:dyDescent="0.2">
      <c r="A36" s="500">
        <v>399</v>
      </c>
      <c r="B36" s="500">
        <v>0</v>
      </c>
      <c r="C36" s="500" t="s">
        <v>768</v>
      </c>
      <c r="D36" s="500" t="s">
        <v>769</v>
      </c>
      <c r="E36" s="500"/>
      <c r="F36" s="500"/>
      <c r="G36" s="500"/>
      <c r="H36" s="500"/>
      <c r="I36" s="501" t="s">
        <v>155</v>
      </c>
      <c r="J36" s="506" t="s">
        <v>554</v>
      </c>
      <c r="K36" s="502">
        <v>7980</v>
      </c>
      <c r="L36" s="502">
        <v>0</v>
      </c>
      <c r="M36" s="502">
        <v>7340</v>
      </c>
      <c r="N36" s="502">
        <v>0</v>
      </c>
      <c r="O36" s="502">
        <v>640</v>
      </c>
      <c r="P36" s="502">
        <f t="shared" si="0"/>
        <v>0</v>
      </c>
      <c r="Q36" s="503"/>
    </row>
    <row r="37" spans="1:17" s="504" customFormat="1" ht="14.25" x14ac:dyDescent="0.2">
      <c r="A37" s="500">
        <v>403</v>
      </c>
      <c r="B37" s="500">
        <v>0</v>
      </c>
      <c r="C37" s="500" t="s">
        <v>768</v>
      </c>
      <c r="D37" s="500" t="s">
        <v>770</v>
      </c>
      <c r="E37" s="500"/>
      <c r="F37" s="500"/>
      <c r="G37" s="500"/>
      <c r="H37" s="500"/>
      <c r="I37" s="501" t="s">
        <v>155</v>
      </c>
      <c r="J37" s="506" t="s">
        <v>554</v>
      </c>
      <c r="K37" s="502">
        <v>21960</v>
      </c>
      <c r="L37" s="502">
        <v>0</v>
      </c>
      <c r="M37" s="502">
        <v>0</v>
      </c>
      <c r="N37" s="502">
        <v>0</v>
      </c>
      <c r="O37" s="502">
        <v>0</v>
      </c>
      <c r="P37" s="502">
        <f t="shared" si="0"/>
        <v>21960</v>
      </c>
      <c r="Q37" s="503"/>
    </row>
    <row r="38" spans="1:17" s="504" customFormat="1" ht="14.25" x14ac:dyDescent="0.2">
      <c r="A38" s="500">
        <v>444</v>
      </c>
      <c r="B38" s="500">
        <v>0</v>
      </c>
      <c r="C38" s="500" t="s">
        <v>768</v>
      </c>
      <c r="D38" s="500" t="s">
        <v>771</v>
      </c>
      <c r="E38" s="500"/>
      <c r="F38" s="500"/>
      <c r="G38" s="500"/>
      <c r="H38" s="500"/>
      <c r="I38" s="501" t="s">
        <v>155</v>
      </c>
      <c r="J38" s="506" t="s">
        <v>554</v>
      </c>
      <c r="K38" s="502">
        <v>175000</v>
      </c>
      <c r="L38" s="502">
        <v>0</v>
      </c>
      <c r="M38" s="502">
        <v>75000</v>
      </c>
      <c r="N38" s="502">
        <v>0</v>
      </c>
      <c r="O38" s="502">
        <v>0</v>
      </c>
      <c r="P38" s="502">
        <f t="shared" si="0"/>
        <v>100000</v>
      </c>
      <c r="Q38" s="503"/>
    </row>
    <row r="39" spans="1:17" s="504" customFormat="1" ht="14.25" x14ac:dyDescent="0.2">
      <c r="A39" s="500">
        <v>451</v>
      </c>
      <c r="B39" s="500">
        <v>0</v>
      </c>
      <c r="C39" s="500" t="s">
        <v>768</v>
      </c>
      <c r="D39" s="500" t="s">
        <v>772</v>
      </c>
      <c r="E39" s="500"/>
      <c r="F39" s="500"/>
      <c r="G39" s="500"/>
      <c r="H39" s="500"/>
      <c r="I39" s="501" t="s">
        <v>155</v>
      </c>
      <c r="J39" s="506" t="s">
        <v>554</v>
      </c>
      <c r="K39" s="502">
        <v>14288.11</v>
      </c>
      <c r="L39" s="502">
        <v>0</v>
      </c>
      <c r="M39" s="502">
        <v>12564.49</v>
      </c>
      <c r="N39" s="502">
        <v>0</v>
      </c>
      <c r="O39" s="502">
        <v>1723.62</v>
      </c>
      <c r="P39" s="502">
        <f t="shared" si="0"/>
        <v>0</v>
      </c>
      <c r="Q39" s="503"/>
    </row>
    <row r="40" spans="1:17" s="504" customFormat="1" ht="14.25" x14ac:dyDescent="0.2">
      <c r="A40" s="500">
        <v>443</v>
      </c>
      <c r="B40" s="500">
        <v>0</v>
      </c>
      <c r="C40" s="500" t="s">
        <v>773</v>
      </c>
      <c r="D40" s="500" t="s">
        <v>774</v>
      </c>
      <c r="E40" s="500"/>
      <c r="F40" s="500"/>
      <c r="G40" s="500"/>
      <c r="H40" s="500"/>
      <c r="I40" s="501" t="s">
        <v>155</v>
      </c>
      <c r="J40" s="506" t="s">
        <v>554</v>
      </c>
      <c r="K40" s="502">
        <v>20000</v>
      </c>
      <c r="L40" s="502">
        <v>0</v>
      </c>
      <c r="M40" s="502">
        <v>20000</v>
      </c>
      <c r="N40" s="502">
        <v>0</v>
      </c>
      <c r="O40" s="502">
        <v>0</v>
      </c>
      <c r="P40" s="502">
        <f t="shared" si="0"/>
        <v>0</v>
      </c>
      <c r="Q40" s="503"/>
    </row>
    <row r="41" spans="1:17" s="504" customFormat="1" ht="14.25" x14ac:dyDescent="0.2">
      <c r="A41" s="500">
        <v>402</v>
      </c>
      <c r="B41" s="500">
        <v>0</v>
      </c>
      <c r="C41" s="500" t="s">
        <v>775</v>
      </c>
      <c r="D41" s="500" t="s">
        <v>776</v>
      </c>
      <c r="E41" s="500"/>
      <c r="F41" s="500"/>
      <c r="G41" s="500"/>
      <c r="H41" s="500"/>
      <c r="I41" s="501" t="s">
        <v>155</v>
      </c>
      <c r="J41" s="506" t="s">
        <v>554</v>
      </c>
      <c r="K41" s="502">
        <v>0</v>
      </c>
      <c r="L41" s="502">
        <v>190000</v>
      </c>
      <c r="M41" s="502">
        <v>140000</v>
      </c>
      <c r="N41" s="502">
        <v>0</v>
      </c>
      <c r="O41" s="502">
        <v>0</v>
      </c>
      <c r="P41" s="502">
        <f t="shared" si="0"/>
        <v>50000</v>
      </c>
      <c r="Q41" s="503"/>
    </row>
    <row r="42" spans="1:17" s="504" customFormat="1" ht="14.25" x14ac:dyDescent="0.2">
      <c r="A42" s="500">
        <v>431</v>
      </c>
      <c r="B42" s="500">
        <v>0</v>
      </c>
      <c r="C42" s="500" t="s">
        <v>775</v>
      </c>
      <c r="D42" s="500" t="s">
        <v>777</v>
      </c>
      <c r="E42" s="500"/>
      <c r="F42" s="500"/>
      <c r="G42" s="500"/>
      <c r="H42" s="500"/>
      <c r="I42" s="501" t="s">
        <v>155</v>
      </c>
      <c r="J42" s="506" t="s">
        <v>554</v>
      </c>
      <c r="K42" s="502">
        <v>21522</v>
      </c>
      <c r="L42" s="502">
        <v>15000</v>
      </c>
      <c r="M42" s="502">
        <v>21521.95</v>
      </c>
      <c r="N42" s="502">
        <v>0</v>
      </c>
      <c r="O42" s="502">
        <v>0.05</v>
      </c>
      <c r="P42" s="502">
        <f t="shared" si="0"/>
        <v>15000</v>
      </c>
      <c r="Q42" s="503"/>
    </row>
    <row r="43" spans="1:17" s="504" customFormat="1" ht="14.25" x14ac:dyDescent="0.2">
      <c r="A43" s="500">
        <v>435</v>
      </c>
      <c r="B43" s="500">
        <v>0</v>
      </c>
      <c r="C43" s="500" t="s">
        <v>778</v>
      </c>
      <c r="D43" s="500" t="s">
        <v>779</v>
      </c>
      <c r="E43" s="500"/>
      <c r="F43" s="500"/>
      <c r="G43" s="500"/>
      <c r="H43" s="500"/>
      <c r="I43" s="501" t="s">
        <v>155</v>
      </c>
      <c r="J43" s="501" t="s">
        <v>559</v>
      </c>
      <c r="K43" s="502">
        <v>9865.73</v>
      </c>
      <c r="L43" s="502">
        <v>6527.16</v>
      </c>
      <c r="M43" s="502">
        <v>10670.87</v>
      </c>
      <c r="N43" s="502">
        <v>0</v>
      </c>
      <c r="O43" s="502">
        <v>0</v>
      </c>
      <c r="P43" s="502">
        <f t="shared" si="0"/>
        <v>5722.0199999999986</v>
      </c>
      <c r="Q43" s="503"/>
    </row>
    <row r="44" spans="1:17" s="504" customFormat="1" ht="14.25" x14ac:dyDescent="0.2">
      <c r="A44" s="500">
        <v>450</v>
      </c>
      <c r="B44" s="500">
        <v>0</v>
      </c>
      <c r="C44" s="500" t="s">
        <v>780</v>
      </c>
      <c r="D44" s="500" t="s">
        <v>781</v>
      </c>
      <c r="E44" s="500"/>
      <c r="F44" s="500"/>
      <c r="G44" s="500"/>
      <c r="H44" s="500"/>
      <c r="I44" s="501" t="s">
        <v>169</v>
      </c>
      <c r="J44" s="501" t="s">
        <v>782</v>
      </c>
      <c r="K44" s="502">
        <v>7419.81</v>
      </c>
      <c r="L44" s="502">
        <v>26848.5</v>
      </c>
      <c r="M44" s="502">
        <v>34268.31</v>
      </c>
      <c r="N44" s="502">
        <v>0</v>
      </c>
      <c r="O44" s="502">
        <v>0</v>
      </c>
      <c r="P44" s="502">
        <f t="shared" si="0"/>
        <v>0</v>
      </c>
      <c r="Q44" s="503"/>
    </row>
    <row r="45" spans="1:17" s="504" customFormat="1" ht="14.25" x14ac:dyDescent="0.2">
      <c r="A45" s="500">
        <v>600</v>
      </c>
      <c r="B45" s="500">
        <v>0</v>
      </c>
      <c r="C45" s="500" t="s">
        <v>783</v>
      </c>
      <c r="D45" s="500" t="s">
        <v>784</v>
      </c>
      <c r="E45" s="500"/>
      <c r="F45" s="500"/>
      <c r="G45" s="500"/>
      <c r="H45" s="500"/>
      <c r="I45" s="501" t="s">
        <v>169</v>
      </c>
      <c r="J45" s="507" t="s">
        <v>785</v>
      </c>
      <c r="K45" s="502">
        <v>533.5</v>
      </c>
      <c r="L45" s="502">
        <v>19852.79</v>
      </c>
      <c r="M45" s="502">
        <v>19740.2</v>
      </c>
      <c r="N45" s="502">
        <v>0</v>
      </c>
      <c r="O45" s="502">
        <v>533.5</v>
      </c>
      <c r="P45" s="502">
        <f t="shared" si="0"/>
        <v>112.59000000000015</v>
      </c>
      <c r="Q45" s="503"/>
    </row>
    <row r="46" spans="1:17" s="504" customFormat="1" ht="14.25" x14ac:dyDescent="0.2">
      <c r="A46" s="500">
        <v>600</v>
      </c>
      <c r="B46" s="500">
        <v>1</v>
      </c>
      <c r="C46" s="500" t="s">
        <v>783</v>
      </c>
      <c r="D46" s="500" t="s">
        <v>786</v>
      </c>
      <c r="E46" s="500"/>
      <c r="F46" s="500"/>
      <c r="G46" s="500"/>
      <c r="H46" s="500"/>
      <c r="I46" s="501" t="s">
        <v>169</v>
      </c>
      <c r="J46" s="507" t="s">
        <v>785</v>
      </c>
      <c r="K46" s="502">
        <v>0</v>
      </c>
      <c r="L46" s="502">
        <v>5623.56</v>
      </c>
      <c r="M46" s="502">
        <v>5623.56</v>
      </c>
      <c r="N46" s="502">
        <v>0</v>
      </c>
      <c r="O46" s="502">
        <v>0</v>
      </c>
      <c r="P46" s="502">
        <f t="shared" si="0"/>
        <v>0</v>
      </c>
      <c r="Q46" s="503"/>
    </row>
    <row r="47" spans="1:17" s="504" customFormat="1" ht="14.25" x14ac:dyDescent="0.2">
      <c r="A47" s="500">
        <v>590</v>
      </c>
      <c r="B47" s="500">
        <v>0</v>
      </c>
      <c r="C47" s="500" t="s">
        <v>787</v>
      </c>
      <c r="D47" s="500" t="s">
        <v>788</v>
      </c>
      <c r="E47" s="500"/>
      <c r="F47" s="500"/>
      <c r="G47" s="500"/>
      <c r="H47" s="500"/>
      <c r="I47" s="501" t="s">
        <v>169</v>
      </c>
      <c r="J47" s="507" t="s">
        <v>785</v>
      </c>
      <c r="K47" s="502">
        <v>804.79</v>
      </c>
      <c r="L47" s="502">
        <v>11161.58</v>
      </c>
      <c r="M47" s="502">
        <v>10409.15</v>
      </c>
      <c r="N47" s="502">
        <v>0</v>
      </c>
      <c r="O47" s="502">
        <v>804.79</v>
      </c>
      <c r="P47" s="502">
        <f t="shared" si="0"/>
        <v>752.42999999999938</v>
      </c>
      <c r="Q47" s="503"/>
    </row>
    <row r="48" spans="1:17" s="504" customFormat="1" ht="14.25" x14ac:dyDescent="0.2">
      <c r="A48" s="500">
        <v>605</v>
      </c>
      <c r="B48" s="500">
        <v>0</v>
      </c>
      <c r="C48" s="500" t="s">
        <v>789</v>
      </c>
      <c r="D48" s="500" t="s">
        <v>790</v>
      </c>
      <c r="E48" s="500"/>
      <c r="F48" s="500"/>
      <c r="G48" s="500"/>
      <c r="H48" s="500"/>
      <c r="I48" s="501" t="s">
        <v>169</v>
      </c>
      <c r="J48" s="507" t="s">
        <v>785</v>
      </c>
      <c r="K48" s="502">
        <v>0</v>
      </c>
      <c r="L48" s="502">
        <v>1491.7</v>
      </c>
      <c r="M48" s="502">
        <v>1491.7</v>
      </c>
      <c r="N48" s="502">
        <v>0</v>
      </c>
      <c r="O48" s="502">
        <v>0</v>
      </c>
      <c r="P48" s="502">
        <f t="shared" si="0"/>
        <v>0</v>
      </c>
      <c r="Q48" s="503"/>
    </row>
    <row r="49" spans="1:17" s="504" customFormat="1" ht="14.25" x14ac:dyDescent="0.2">
      <c r="A49" s="500">
        <v>606</v>
      </c>
      <c r="B49" s="500">
        <v>0</v>
      </c>
      <c r="C49" s="500" t="s">
        <v>789</v>
      </c>
      <c r="D49" s="500" t="s">
        <v>720</v>
      </c>
      <c r="E49" s="500"/>
      <c r="F49" s="500"/>
      <c r="G49" s="500"/>
      <c r="H49" s="500"/>
      <c r="I49" s="501" t="s">
        <v>169</v>
      </c>
      <c r="J49" s="507" t="s">
        <v>785</v>
      </c>
      <c r="K49" s="502">
        <v>0</v>
      </c>
      <c r="L49" s="502">
        <v>971.2</v>
      </c>
      <c r="M49" s="502">
        <v>949.92</v>
      </c>
      <c r="N49" s="502">
        <v>0</v>
      </c>
      <c r="O49" s="502">
        <v>0</v>
      </c>
      <c r="P49" s="502">
        <f t="shared" si="0"/>
        <v>21.280000000000086</v>
      </c>
      <c r="Q49" s="503"/>
    </row>
    <row r="50" spans="1:17" s="504" customFormat="1" ht="14.25" x14ac:dyDescent="0.2">
      <c r="A50" s="500">
        <v>630</v>
      </c>
      <c r="B50" s="500">
        <v>0</v>
      </c>
      <c r="C50" s="500" t="s">
        <v>791</v>
      </c>
      <c r="D50" s="500" t="s">
        <v>792</v>
      </c>
      <c r="E50" s="500"/>
      <c r="F50" s="500"/>
      <c r="G50" s="500"/>
      <c r="H50" s="500"/>
      <c r="I50" s="501" t="s">
        <v>169</v>
      </c>
      <c r="J50" s="507" t="s">
        <v>785</v>
      </c>
      <c r="K50" s="502">
        <v>5000</v>
      </c>
      <c r="L50" s="502">
        <v>4600</v>
      </c>
      <c r="M50" s="502">
        <v>5000</v>
      </c>
      <c r="N50" s="502">
        <v>0</v>
      </c>
      <c r="O50" s="502">
        <v>0</v>
      </c>
      <c r="P50" s="502">
        <f t="shared" si="0"/>
        <v>4600</v>
      </c>
      <c r="Q50" s="503"/>
    </row>
    <row r="51" spans="1:17" s="504" customFormat="1" ht="14.25" x14ac:dyDescent="0.2">
      <c r="A51" s="500">
        <v>615</v>
      </c>
      <c r="B51" s="500">
        <v>0</v>
      </c>
      <c r="C51" s="500" t="s">
        <v>793</v>
      </c>
      <c r="D51" s="500" t="s">
        <v>794</v>
      </c>
      <c r="E51" s="500"/>
      <c r="F51" s="500"/>
      <c r="G51" s="500"/>
      <c r="H51" s="500"/>
      <c r="I51" s="501" t="s">
        <v>169</v>
      </c>
      <c r="J51" s="507" t="s">
        <v>785</v>
      </c>
      <c r="K51" s="502">
        <v>766.54</v>
      </c>
      <c r="L51" s="502">
        <v>86002.12</v>
      </c>
      <c r="M51" s="502">
        <v>86283.33</v>
      </c>
      <c r="N51" s="502">
        <v>45.67</v>
      </c>
      <c r="O51" s="502">
        <v>0</v>
      </c>
      <c r="P51" s="502">
        <f t="shared" si="0"/>
        <v>530.99999999998715</v>
      </c>
      <c r="Q51" s="503"/>
    </row>
    <row r="52" spans="1:17" s="504" customFormat="1" ht="14.25" x14ac:dyDescent="0.2">
      <c r="A52" s="500">
        <v>620</v>
      </c>
      <c r="B52" s="500">
        <v>0</v>
      </c>
      <c r="C52" s="500" t="s">
        <v>795</v>
      </c>
      <c r="D52" s="500" t="s">
        <v>796</v>
      </c>
      <c r="E52" s="500"/>
      <c r="F52" s="500"/>
      <c r="G52" s="500"/>
      <c r="H52" s="500"/>
      <c r="I52" s="501" t="s">
        <v>167</v>
      </c>
      <c r="J52" s="507" t="s">
        <v>785</v>
      </c>
      <c r="K52" s="502">
        <v>2891.85</v>
      </c>
      <c r="L52" s="502">
        <v>5907.29</v>
      </c>
      <c r="M52" s="502">
        <v>3037.2</v>
      </c>
      <c r="N52" s="502">
        <v>0</v>
      </c>
      <c r="O52" s="502">
        <v>2891.85</v>
      </c>
      <c r="P52" s="502">
        <f t="shared" si="0"/>
        <v>2870.0899999999997</v>
      </c>
      <c r="Q52" s="503"/>
    </row>
    <row r="55" spans="1:17" x14ac:dyDescent="0.25">
      <c r="K55" s="238">
        <f t="shared" ref="K55:P55" si="1">SUM(K3:K54)</f>
        <v>780247.70000000007</v>
      </c>
      <c r="L55" s="238">
        <f t="shared" si="1"/>
        <v>1008275.8700000001</v>
      </c>
      <c r="M55" s="238">
        <f t="shared" si="1"/>
        <v>1276899.69</v>
      </c>
      <c r="N55" s="238">
        <f t="shared" si="1"/>
        <v>1007.7699999999999</v>
      </c>
      <c r="O55" s="238">
        <f t="shared" si="1"/>
        <v>15183.42</v>
      </c>
      <c r="P55" s="238">
        <f t="shared" si="1"/>
        <v>497448.23000000004</v>
      </c>
      <c r="Q55" s="239" t="s">
        <v>384</v>
      </c>
    </row>
    <row r="57" spans="1:17" x14ac:dyDescent="0.25">
      <c r="A57" s="43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opLeftCell="A100" workbookViewId="0">
      <selection activeCell="M119" sqref="M119"/>
    </sheetView>
  </sheetViews>
  <sheetFormatPr defaultRowHeight="15" x14ac:dyDescent="0.25"/>
  <cols>
    <col min="1" max="1" width="5.5703125" bestFit="1" customWidth="1"/>
    <col min="2" max="2" width="4.42578125" bestFit="1" customWidth="1"/>
    <col min="3" max="3" width="12.7109375" bestFit="1" customWidth="1"/>
    <col min="4" max="4" width="22.28515625" bestFit="1" customWidth="1"/>
    <col min="5" max="5" width="5.28515625" bestFit="1" customWidth="1"/>
    <col min="6" max="6" width="12.5703125" bestFit="1" customWidth="1"/>
    <col min="7" max="7" width="6" bestFit="1" customWidth="1"/>
    <col min="8" max="8" width="13.28515625" bestFit="1" customWidth="1"/>
    <col min="9" max="10" width="7.5703125" bestFit="1" customWidth="1"/>
    <col min="11" max="11" width="12.7109375" bestFit="1" customWidth="1"/>
    <col min="12" max="13" width="13.28515625" bestFit="1" customWidth="1"/>
    <col min="14" max="14" width="10.28515625" bestFit="1" customWidth="1"/>
    <col min="15" max="15" width="10.5703125" bestFit="1" customWidth="1"/>
    <col min="16" max="16" width="12.7109375" bestFit="1" customWidth="1"/>
  </cols>
  <sheetData>
    <row r="1" spans="1:16" s="203" customFormat="1" ht="30" x14ac:dyDescent="0.25">
      <c r="A1" t="s">
        <v>150</v>
      </c>
      <c r="B1" t="s">
        <v>151</v>
      </c>
      <c r="C1" s="111" t="s">
        <v>376</v>
      </c>
      <c r="D1" t="s">
        <v>383</v>
      </c>
      <c r="E1" s="111" t="s">
        <v>377</v>
      </c>
      <c r="F1" s="111" t="s">
        <v>379</v>
      </c>
      <c r="G1" s="111" t="s">
        <v>378</v>
      </c>
      <c r="H1" s="111" t="s">
        <v>380</v>
      </c>
      <c r="I1" s="111" t="s">
        <v>382</v>
      </c>
      <c r="J1" s="111" t="s">
        <v>381</v>
      </c>
      <c r="K1" s="111" t="s">
        <v>267</v>
      </c>
      <c r="L1" s="111" t="s">
        <v>269</v>
      </c>
      <c r="M1" s="111" t="s">
        <v>270</v>
      </c>
      <c r="N1" s="187" t="s">
        <v>278</v>
      </c>
      <c r="O1" s="111" t="s">
        <v>279</v>
      </c>
      <c r="P1" s="111" t="s">
        <v>268</v>
      </c>
    </row>
    <row r="3" spans="1:16" s="504" customFormat="1" ht="14.25" x14ac:dyDescent="0.2">
      <c r="A3" s="500">
        <v>115</v>
      </c>
      <c r="B3" s="500">
        <v>0</v>
      </c>
      <c r="C3" s="500" t="s">
        <v>797</v>
      </c>
      <c r="D3" s="500" t="s">
        <v>798</v>
      </c>
      <c r="E3" s="500" t="s">
        <v>799</v>
      </c>
      <c r="F3" s="500"/>
      <c r="G3" s="500" t="s">
        <v>800</v>
      </c>
      <c r="H3" s="500"/>
      <c r="I3" s="508" t="s">
        <v>197</v>
      </c>
      <c r="J3" s="506" t="s">
        <v>563</v>
      </c>
      <c r="K3" s="502">
        <v>0</v>
      </c>
      <c r="L3" s="502">
        <v>11779.2</v>
      </c>
      <c r="M3" s="502">
        <v>11779.2</v>
      </c>
      <c r="N3" s="502"/>
      <c r="O3" s="502">
        <v>0</v>
      </c>
      <c r="P3" s="502">
        <f t="shared" ref="P3:P66" si="0">K3+L3-M3+N3-O3</f>
        <v>0</v>
      </c>
    </row>
    <row r="4" spans="1:16" s="504" customFormat="1" ht="14.25" x14ac:dyDescent="0.2">
      <c r="A4" s="500">
        <v>120</v>
      </c>
      <c r="B4" s="500">
        <v>0</v>
      </c>
      <c r="C4" s="500" t="s">
        <v>797</v>
      </c>
      <c r="D4" s="500" t="s">
        <v>801</v>
      </c>
      <c r="E4" s="500" t="s">
        <v>799</v>
      </c>
      <c r="F4" s="500"/>
      <c r="G4" s="500" t="s">
        <v>800</v>
      </c>
      <c r="H4" s="500"/>
      <c r="I4" s="508" t="s">
        <v>197</v>
      </c>
      <c r="J4" s="506" t="s">
        <v>563</v>
      </c>
      <c r="K4" s="502">
        <v>0</v>
      </c>
      <c r="L4" s="502">
        <v>28598.51</v>
      </c>
      <c r="M4" s="502">
        <v>28598.51</v>
      </c>
      <c r="N4" s="502"/>
      <c r="O4" s="502">
        <v>0</v>
      </c>
      <c r="P4" s="502">
        <f t="shared" si="0"/>
        <v>0</v>
      </c>
    </row>
    <row r="5" spans="1:16" s="504" customFormat="1" ht="14.25" x14ac:dyDescent="0.2">
      <c r="A5" s="500">
        <v>120</v>
      </c>
      <c r="B5" s="500">
        <v>1</v>
      </c>
      <c r="C5" s="500" t="s">
        <v>797</v>
      </c>
      <c r="D5" s="500" t="s">
        <v>802</v>
      </c>
      <c r="E5" s="500" t="s">
        <v>799</v>
      </c>
      <c r="F5" s="500"/>
      <c r="G5" s="500" t="s">
        <v>803</v>
      </c>
      <c r="H5" s="500"/>
      <c r="I5" s="508" t="s">
        <v>197</v>
      </c>
      <c r="J5" s="506" t="s">
        <v>563</v>
      </c>
      <c r="K5" s="502">
        <v>0</v>
      </c>
      <c r="L5" s="502">
        <v>19931.36</v>
      </c>
      <c r="M5" s="502">
        <v>19931.36</v>
      </c>
      <c r="N5" s="502"/>
      <c r="O5" s="502">
        <v>0</v>
      </c>
      <c r="P5" s="502">
        <f t="shared" si="0"/>
        <v>0</v>
      </c>
    </row>
    <row r="6" spans="1:16" s="504" customFormat="1" ht="14.25" x14ac:dyDescent="0.2">
      <c r="A6" s="500">
        <v>120</v>
      </c>
      <c r="B6" s="500">
        <v>2</v>
      </c>
      <c r="C6" s="500" t="s">
        <v>797</v>
      </c>
      <c r="D6" s="500" t="s">
        <v>804</v>
      </c>
      <c r="E6" s="500" t="s">
        <v>805</v>
      </c>
      <c r="F6" s="500"/>
      <c r="G6" s="500" t="s">
        <v>806</v>
      </c>
      <c r="H6" s="500"/>
      <c r="I6" s="508" t="s">
        <v>197</v>
      </c>
      <c r="J6" s="506" t="s">
        <v>563</v>
      </c>
      <c r="K6" s="502">
        <v>0</v>
      </c>
      <c r="L6" s="502">
        <v>25263.95</v>
      </c>
      <c r="M6" s="502">
        <v>25263.95</v>
      </c>
      <c r="N6" s="502"/>
      <c r="O6" s="502">
        <v>0</v>
      </c>
      <c r="P6" s="502">
        <f t="shared" si="0"/>
        <v>0</v>
      </c>
    </row>
    <row r="7" spans="1:16" s="504" customFormat="1" ht="14.25" x14ac:dyDescent="0.2">
      <c r="A7" s="500">
        <v>140</v>
      </c>
      <c r="B7" s="500">
        <v>0</v>
      </c>
      <c r="C7" s="500" t="s">
        <v>807</v>
      </c>
      <c r="D7" s="500" t="s">
        <v>808</v>
      </c>
      <c r="E7" s="500" t="s">
        <v>799</v>
      </c>
      <c r="F7" s="500"/>
      <c r="G7" s="500" t="s">
        <v>800</v>
      </c>
      <c r="H7" s="500"/>
      <c r="I7" s="508" t="s">
        <v>197</v>
      </c>
      <c r="J7" s="506" t="s">
        <v>563</v>
      </c>
      <c r="K7" s="502">
        <v>0.04</v>
      </c>
      <c r="L7" s="502">
        <v>5499.96</v>
      </c>
      <c r="M7" s="502">
        <v>5499.96</v>
      </c>
      <c r="N7" s="502"/>
      <c r="O7" s="502">
        <v>0.04</v>
      </c>
      <c r="P7" s="502">
        <f t="shared" si="0"/>
        <v>-3.6380620738185598E-14</v>
      </c>
    </row>
    <row r="8" spans="1:16" s="504" customFormat="1" ht="14.25" x14ac:dyDescent="0.2">
      <c r="A8" s="500">
        <v>140</v>
      </c>
      <c r="B8" s="500">
        <v>2</v>
      </c>
      <c r="C8" s="500" t="s">
        <v>807</v>
      </c>
      <c r="D8" s="500" t="s">
        <v>809</v>
      </c>
      <c r="E8" s="500" t="s">
        <v>799</v>
      </c>
      <c r="F8" s="500"/>
      <c r="G8" s="500" t="s">
        <v>803</v>
      </c>
      <c r="H8" s="500"/>
      <c r="I8" s="508" t="s">
        <v>197</v>
      </c>
      <c r="J8" s="506" t="s">
        <v>563</v>
      </c>
      <c r="K8" s="502">
        <v>85.85</v>
      </c>
      <c r="L8" s="502">
        <v>2697</v>
      </c>
      <c r="M8" s="502">
        <v>2697</v>
      </c>
      <c r="N8" s="502"/>
      <c r="O8" s="502">
        <v>85.85</v>
      </c>
      <c r="P8" s="502">
        <f t="shared" si="0"/>
        <v>0</v>
      </c>
    </row>
    <row r="9" spans="1:16" s="504" customFormat="1" ht="14.25" x14ac:dyDescent="0.2">
      <c r="A9" s="500">
        <v>140</v>
      </c>
      <c r="B9" s="500">
        <v>3</v>
      </c>
      <c r="C9" s="500" t="s">
        <v>807</v>
      </c>
      <c r="D9" s="500" t="s">
        <v>810</v>
      </c>
      <c r="E9" s="500" t="s">
        <v>805</v>
      </c>
      <c r="F9" s="500"/>
      <c r="G9" s="500" t="s">
        <v>806</v>
      </c>
      <c r="H9" s="500"/>
      <c r="I9" s="508" t="s">
        <v>197</v>
      </c>
      <c r="J9" s="506" t="s">
        <v>563</v>
      </c>
      <c r="K9" s="502">
        <v>0</v>
      </c>
      <c r="L9" s="502">
        <v>2000</v>
      </c>
      <c r="M9" s="502">
        <v>2000</v>
      </c>
      <c r="N9" s="502"/>
      <c r="O9" s="502">
        <v>0</v>
      </c>
      <c r="P9" s="502">
        <f t="shared" si="0"/>
        <v>0</v>
      </c>
    </row>
    <row r="10" spans="1:16" s="504" customFormat="1" ht="14.25" x14ac:dyDescent="0.2">
      <c r="A10" s="500">
        <v>230</v>
      </c>
      <c r="B10" s="500">
        <v>7</v>
      </c>
      <c r="C10" s="500" t="s">
        <v>811</v>
      </c>
      <c r="D10" s="500" t="s">
        <v>812</v>
      </c>
      <c r="E10" s="500" t="s">
        <v>799</v>
      </c>
      <c r="F10" s="500"/>
      <c r="G10" s="500" t="s">
        <v>800</v>
      </c>
      <c r="H10" s="500"/>
      <c r="I10" s="508" t="s">
        <v>187</v>
      </c>
      <c r="J10" s="506" t="s">
        <v>563</v>
      </c>
      <c r="K10" s="502">
        <v>0</v>
      </c>
      <c r="L10" s="502">
        <v>5966.1</v>
      </c>
      <c r="M10" s="502">
        <v>5161.1000000000004</v>
      </c>
      <c r="N10" s="502"/>
      <c r="O10" s="502">
        <v>0</v>
      </c>
      <c r="P10" s="502">
        <f t="shared" si="0"/>
        <v>805</v>
      </c>
    </row>
    <row r="11" spans="1:16" s="504" customFormat="1" ht="14.25" x14ac:dyDescent="0.2">
      <c r="A11" s="500">
        <v>125</v>
      </c>
      <c r="B11" s="500">
        <v>0</v>
      </c>
      <c r="C11" s="500" t="s">
        <v>813</v>
      </c>
      <c r="D11" s="500" t="s">
        <v>814</v>
      </c>
      <c r="E11" s="500" t="s">
        <v>799</v>
      </c>
      <c r="F11" s="500"/>
      <c r="G11" s="500" t="s">
        <v>800</v>
      </c>
      <c r="H11" s="500"/>
      <c r="I11" s="508" t="s">
        <v>195</v>
      </c>
      <c r="J11" s="506" t="s">
        <v>563</v>
      </c>
      <c r="K11" s="502">
        <v>0</v>
      </c>
      <c r="L11" s="502">
        <v>2803.44</v>
      </c>
      <c r="M11" s="502">
        <v>2803.44</v>
      </c>
      <c r="N11" s="502"/>
      <c r="O11" s="502">
        <v>0</v>
      </c>
      <c r="P11" s="502">
        <f t="shared" si="0"/>
        <v>0</v>
      </c>
    </row>
    <row r="12" spans="1:16" s="504" customFormat="1" ht="14.25" x14ac:dyDescent="0.2">
      <c r="A12" s="500">
        <v>130</v>
      </c>
      <c r="B12" s="500">
        <v>0</v>
      </c>
      <c r="C12" s="500" t="s">
        <v>813</v>
      </c>
      <c r="D12" s="500" t="s">
        <v>815</v>
      </c>
      <c r="E12" s="500" t="s">
        <v>799</v>
      </c>
      <c r="F12" s="500"/>
      <c r="G12" s="500" t="s">
        <v>800</v>
      </c>
      <c r="H12" s="500"/>
      <c r="I12" s="508" t="s">
        <v>195</v>
      </c>
      <c r="J12" s="506" t="s">
        <v>563</v>
      </c>
      <c r="K12" s="502">
        <v>0</v>
      </c>
      <c r="L12" s="502">
        <v>8278.6</v>
      </c>
      <c r="M12" s="502">
        <v>8278.6</v>
      </c>
      <c r="N12" s="502"/>
      <c r="O12" s="502">
        <v>0</v>
      </c>
      <c r="P12" s="502">
        <f t="shared" si="0"/>
        <v>0</v>
      </c>
    </row>
    <row r="13" spans="1:16" s="504" customFormat="1" ht="14.25" x14ac:dyDescent="0.2">
      <c r="A13" s="500">
        <v>130</v>
      </c>
      <c r="B13" s="500">
        <v>1</v>
      </c>
      <c r="C13" s="500" t="s">
        <v>813</v>
      </c>
      <c r="D13" s="500" t="s">
        <v>816</v>
      </c>
      <c r="E13" s="500" t="s">
        <v>799</v>
      </c>
      <c r="F13" s="500"/>
      <c r="G13" s="500" t="s">
        <v>803</v>
      </c>
      <c r="H13" s="500"/>
      <c r="I13" s="508" t="s">
        <v>195</v>
      </c>
      <c r="J13" s="506" t="s">
        <v>563</v>
      </c>
      <c r="K13" s="502">
        <v>0</v>
      </c>
      <c r="L13" s="502">
        <v>5670.67</v>
      </c>
      <c r="M13" s="502">
        <v>5670.67</v>
      </c>
      <c r="N13" s="502"/>
      <c r="O13" s="502">
        <v>0</v>
      </c>
      <c r="P13" s="502">
        <f t="shared" si="0"/>
        <v>0</v>
      </c>
    </row>
    <row r="14" spans="1:16" s="504" customFormat="1" ht="14.25" x14ac:dyDescent="0.2">
      <c r="A14" s="500">
        <v>130</v>
      </c>
      <c r="B14" s="500">
        <v>2</v>
      </c>
      <c r="C14" s="500" t="s">
        <v>813</v>
      </c>
      <c r="D14" s="500" t="s">
        <v>817</v>
      </c>
      <c r="E14" s="500" t="s">
        <v>805</v>
      </c>
      <c r="F14" s="500"/>
      <c r="G14" s="500" t="s">
        <v>806</v>
      </c>
      <c r="H14" s="500"/>
      <c r="I14" s="508" t="s">
        <v>195</v>
      </c>
      <c r="J14" s="506" t="s">
        <v>563</v>
      </c>
      <c r="K14" s="502">
        <v>0</v>
      </c>
      <c r="L14" s="502">
        <v>6927.65</v>
      </c>
      <c r="M14" s="502">
        <v>6927.65</v>
      </c>
      <c r="N14" s="502"/>
      <c r="O14" s="502">
        <v>0</v>
      </c>
      <c r="P14" s="502">
        <f t="shared" si="0"/>
        <v>0</v>
      </c>
    </row>
    <row r="15" spans="1:16" s="504" customFormat="1" ht="14.25" x14ac:dyDescent="0.2">
      <c r="A15" s="500">
        <v>144</v>
      </c>
      <c r="B15" s="500">
        <v>0</v>
      </c>
      <c r="C15" s="500" t="s">
        <v>818</v>
      </c>
      <c r="D15" s="500" t="s">
        <v>819</v>
      </c>
      <c r="E15" s="500" t="s">
        <v>799</v>
      </c>
      <c r="F15" s="500"/>
      <c r="G15" s="500" t="s">
        <v>800</v>
      </c>
      <c r="H15" s="500"/>
      <c r="I15" s="508" t="s">
        <v>194</v>
      </c>
      <c r="J15" s="506">
        <v>26</v>
      </c>
      <c r="K15" s="502">
        <v>0</v>
      </c>
      <c r="L15" s="502">
        <v>1001.64</v>
      </c>
      <c r="M15" s="502">
        <v>1001.64</v>
      </c>
      <c r="N15" s="502"/>
      <c r="O15" s="502">
        <v>0</v>
      </c>
      <c r="P15" s="502">
        <f t="shared" si="0"/>
        <v>0</v>
      </c>
    </row>
    <row r="16" spans="1:16" s="504" customFormat="1" ht="14.25" x14ac:dyDescent="0.2">
      <c r="A16" s="500">
        <v>145</v>
      </c>
      <c r="B16" s="500">
        <v>0</v>
      </c>
      <c r="C16" s="500" t="s">
        <v>818</v>
      </c>
      <c r="D16" s="500" t="s">
        <v>820</v>
      </c>
      <c r="E16" s="500" t="s">
        <v>799</v>
      </c>
      <c r="F16" s="500"/>
      <c r="G16" s="500" t="s">
        <v>800</v>
      </c>
      <c r="H16" s="500"/>
      <c r="I16" s="508" t="s">
        <v>194</v>
      </c>
      <c r="J16" s="506">
        <v>26</v>
      </c>
      <c r="K16" s="502">
        <v>0</v>
      </c>
      <c r="L16" s="502">
        <v>2845.6</v>
      </c>
      <c r="M16" s="502">
        <v>2845.6</v>
      </c>
      <c r="N16" s="502"/>
      <c r="O16" s="502">
        <v>0</v>
      </c>
      <c r="P16" s="502">
        <f t="shared" si="0"/>
        <v>0</v>
      </c>
    </row>
    <row r="17" spans="1:16" s="504" customFormat="1" ht="14.25" x14ac:dyDescent="0.2">
      <c r="A17" s="500">
        <v>145</v>
      </c>
      <c r="B17" s="500">
        <v>1</v>
      </c>
      <c r="C17" s="500" t="s">
        <v>818</v>
      </c>
      <c r="D17" s="500" t="s">
        <v>821</v>
      </c>
      <c r="E17" s="500" t="s">
        <v>799</v>
      </c>
      <c r="F17" s="500"/>
      <c r="G17" s="500" t="s">
        <v>803</v>
      </c>
      <c r="H17" s="500"/>
      <c r="I17" s="508" t="s">
        <v>194</v>
      </c>
      <c r="J17" s="506">
        <v>26</v>
      </c>
      <c r="K17" s="502">
        <v>0</v>
      </c>
      <c r="L17" s="502">
        <v>1887.12</v>
      </c>
      <c r="M17" s="502">
        <v>1887.12</v>
      </c>
      <c r="N17" s="502"/>
      <c r="O17" s="502">
        <v>0</v>
      </c>
      <c r="P17" s="502">
        <f t="shared" si="0"/>
        <v>0</v>
      </c>
    </row>
    <row r="18" spans="1:16" s="504" customFormat="1" ht="14.25" x14ac:dyDescent="0.2">
      <c r="A18" s="500">
        <v>145</v>
      </c>
      <c r="B18" s="500">
        <v>2</v>
      </c>
      <c r="C18" s="500" t="s">
        <v>818</v>
      </c>
      <c r="D18" s="500" t="s">
        <v>822</v>
      </c>
      <c r="E18" s="500" t="s">
        <v>805</v>
      </c>
      <c r="F18" s="500"/>
      <c r="G18" s="500" t="s">
        <v>806</v>
      </c>
      <c r="H18" s="500"/>
      <c r="I18" s="508" t="s">
        <v>194</v>
      </c>
      <c r="J18" s="506">
        <v>26</v>
      </c>
      <c r="K18" s="502">
        <v>0</v>
      </c>
      <c r="L18" s="502">
        <v>2309.35</v>
      </c>
      <c r="M18" s="502">
        <v>2309.35</v>
      </c>
      <c r="N18" s="502"/>
      <c r="O18" s="502">
        <v>0</v>
      </c>
      <c r="P18" s="502">
        <f t="shared" si="0"/>
        <v>0</v>
      </c>
    </row>
    <row r="19" spans="1:16" s="504" customFormat="1" ht="14.25" x14ac:dyDescent="0.2">
      <c r="A19" s="500">
        <v>147</v>
      </c>
      <c r="B19" s="500">
        <v>0</v>
      </c>
      <c r="C19" s="500" t="s">
        <v>818</v>
      </c>
      <c r="D19" s="500" t="s">
        <v>823</v>
      </c>
      <c r="E19" s="500" t="s">
        <v>799</v>
      </c>
      <c r="F19" s="500"/>
      <c r="G19" s="500" t="s">
        <v>800</v>
      </c>
      <c r="H19" s="500"/>
      <c r="I19" s="508" t="s">
        <v>194</v>
      </c>
      <c r="J19" s="506">
        <v>26</v>
      </c>
      <c r="K19" s="502">
        <v>0</v>
      </c>
      <c r="L19" s="502">
        <v>2353.48</v>
      </c>
      <c r="M19" s="502">
        <v>2353.48</v>
      </c>
      <c r="N19" s="502"/>
      <c r="O19" s="502">
        <v>0</v>
      </c>
      <c r="P19" s="502">
        <f t="shared" si="0"/>
        <v>0</v>
      </c>
    </row>
    <row r="20" spans="1:16" s="504" customFormat="1" ht="14.25" x14ac:dyDescent="0.2">
      <c r="A20" s="500">
        <v>410</v>
      </c>
      <c r="B20" s="500">
        <v>0</v>
      </c>
      <c r="C20" s="500" t="s">
        <v>824</v>
      </c>
      <c r="D20" s="500" t="s">
        <v>825</v>
      </c>
      <c r="E20" s="500" t="s">
        <v>799</v>
      </c>
      <c r="F20" s="500"/>
      <c r="G20" s="500" t="s">
        <v>826</v>
      </c>
      <c r="H20" s="500"/>
      <c r="I20" s="508" t="s">
        <v>194</v>
      </c>
      <c r="J20" s="506" t="s">
        <v>546</v>
      </c>
      <c r="K20" s="502">
        <v>1147</v>
      </c>
      <c r="L20" s="502">
        <v>1594.54</v>
      </c>
      <c r="M20" s="502">
        <v>2553.6999999999998</v>
      </c>
      <c r="N20" s="502"/>
      <c r="O20" s="502">
        <v>0</v>
      </c>
      <c r="P20" s="502">
        <f t="shared" si="0"/>
        <v>187.84000000000015</v>
      </c>
    </row>
    <row r="21" spans="1:16" s="504" customFormat="1" ht="14.25" x14ac:dyDescent="0.2">
      <c r="A21" s="500">
        <v>610</v>
      </c>
      <c r="B21" s="500">
        <v>0</v>
      </c>
      <c r="C21" s="500" t="s">
        <v>827</v>
      </c>
      <c r="D21" s="500" t="s">
        <v>828</v>
      </c>
      <c r="E21" s="500" t="s">
        <v>829</v>
      </c>
      <c r="F21" s="500"/>
      <c r="G21" s="500" t="s">
        <v>800</v>
      </c>
      <c r="H21" s="500"/>
      <c r="I21" s="508" t="s">
        <v>187</v>
      </c>
      <c r="J21" s="501" t="s">
        <v>544</v>
      </c>
      <c r="K21" s="502">
        <v>2986.78</v>
      </c>
      <c r="L21" s="502">
        <v>1000</v>
      </c>
      <c r="M21" s="502">
        <v>1932.52</v>
      </c>
      <c r="N21" s="502"/>
      <c r="O21" s="502">
        <v>0</v>
      </c>
      <c r="P21" s="502">
        <f t="shared" si="0"/>
        <v>2054.2600000000002</v>
      </c>
    </row>
    <row r="22" spans="1:16" s="504" customFormat="1" ht="14.25" x14ac:dyDescent="0.2">
      <c r="A22" s="500">
        <v>616</v>
      </c>
      <c r="B22" s="500">
        <v>0</v>
      </c>
      <c r="C22" s="500" t="s">
        <v>827</v>
      </c>
      <c r="D22" s="500" t="s">
        <v>830</v>
      </c>
      <c r="E22" s="500" t="s">
        <v>799</v>
      </c>
      <c r="F22" s="500"/>
      <c r="G22" s="500" t="s">
        <v>826</v>
      </c>
      <c r="H22" s="500"/>
      <c r="I22" s="508" t="s">
        <v>187</v>
      </c>
      <c r="J22" s="501" t="s">
        <v>544</v>
      </c>
      <c r="K22" s="502">
        <v>1528.66</v>
      </c>
      <c r="L22" s="502">
        <v>1492.06</v>
      </c>
      <c r="M22" s="502">
        <v>1528.66</v>
      </c>
      <c r="N22" s="502"/>
      <c r="O22" s="502">
        <v>0</v>
      </c>
      <c r="P22" s="502">
        <f t="shared" si="0"/>
        <v>1492.0600000000002</v>
      </c>
    </row>
    <row r="23" spans="1:16" s="504" customFormat="1" ht="14.25" x14ac:dyDescent="0.2">
      <c r="A23" s="500">
        <v>200</v>
      </c>
      <c r="B23" s="500">
        <v>0</v>
      </c>
      <c r="C23" s="500" t="s">
        <v>831</v>
      </c>
      <c r="D23" s="500" t="s">
        <v>832</v>
      </c>
      <c r="E23" s="500" t="s">
        <v>799</v>
      </c>
      <c r="F23" s="500"/>
      <c r="G23" s="500" t="s">
        <v>806</v>
      </c>
      <c r="H23" s="500"/>
      <c r="I23" s="508" t="s">
        <v>187</v>
      </c>
      <c r="J23" s="501" t="s">
        <v>544</v>
      </c>
      <c r="K23" s="502">
        <v>0</v>
      </c>
      <c r="L23" s="502">
        <v>1491.45</v>
      </c>
      <c r="M23" s="502">
        <v>1491.45</v>
      </c>
      <c r="N23" s="502"/>
      <c r="O23" s="502">
        <v>0</v>
      </c>
      <c r="P23" s="502">
        <f t="shared" si="0"/>
        <v>0</v>
      </c>
    </row>
    <row r="24" spans="1:16" s="504" customFormat="1" ht="14.25" x14ac:dyDescent="0.2">
      <c r="A24" s="500">
        <v>200</v>
      </c>
      <c r="B24" s="500">
        <v>1</v>
      </c>
      <c r="C24" s="500" t="s">
        <v>831</v>
      </c>
      <c r="D24" s="500" t="s">
        <v>833</v>
      </c>
      <c r="E24" s="500" t="s">
        <v>799</v>
      </c>
      <c r="F24" s="500"/>
      <c r="G24" s="500" t="s">
        <v>803</v>
      </c>
      <c r="H24" s="500"/>
      <c r="I24" s="508" t="s">
        <v>187</v>
      </c>
      <c r="J24" s="501" t="s">
        <v>544</v>
      </c>
      <c r="K24" s="502">
        <v>366</v>
      </c>
      <c r="L24" s="502">
        <v>753.61</v>
      </c>
      <c r="M24" s="502">
        <v>781.41</v>
      </c>
      <c r="N24" s="502"/>
      <c r="O24" s="502">
        <v>0</v>
      </c>
      <c r="P24" s="502">
        <f t="shared" si="0"/>
        <v>338.20000000000016</v>
      </c>
    </row>
    <row r="25" spans="1:16" s="504" customFormat="1" ht="14.25" x14ac:dyDescent="0.2">
      <c r="A25" s="500">
        <v>709</v>
      </c>
      <c r="B25" s="500">
        <v>0</v>
      </c>
      <c r="C25" s="500" t="s">
        <v>834</v>
      </c>
      <c r="D25" s="500" t="s">
        <v>835</v>
      </c>
      <c r="E25" s="500" t="s">
        <v>836</v>
      </c>
      <c r="F25" s="500"/>
      <c r="G25" s="500" t="s">
        <v>829</v>
      </c>
      <c r="H25" s="500"/>
      <c r="I25" s="508" t="s">
        <v>187</v>
      </c>
      <c r="J25" s="501" t="s">
        <v>544</v>
      </c>
      <c r="K25" s="502">
        <v>444.24</v>
      </c>
      <c r="L25" s="502">
        <v>500</v>
      </c>
      <c r="M25" s="502">
        <v>444.24</v>
      </c>
      <c r="N25" s="502"/>
      <c r="O25" s="502">
        <v>0</v>
      </c>
      <c r="P25" s="502">
        <f t="shared" si="0"/>
        <v>500</v>
      </c>
    </row>
    <row r="26" spans="1:16" s="504" customFormat="1" ht="14.25" x14ac:dyDescent="0.2">
      <c r="A26" s="500">
        <v>710</v>
      </c>
      <c r="B26" s="500">
        <v>1</v>
      </c>
      <c r="C26" s="500" t="s">
        <v>834</v>
      </c>
      <c r="D26" s="500" t="s">
        <v>837</v>
      </c>
      <c r="E26" s="500" t="s">
        <v>836</v>
      </c>
      <c r="F26" s="500"/>
      <c r="G26" s="500" t="s">
        <v>829</v>
      </c>
      <c r="H26" s="500"/>
      <c r="I26" s="508" t="s">
        <v>187</v>
      </c>
      <c r="J26" s="501" t="s">
        <v>544</v>
      </c>
      <c r="K26" s="502">
        <v>800</v>
      </c>
      <c r="L26" s="502">
        <v>500</v>
      </c>
      <c r="M26" s="502">
        <v>800</v>
      </c>
      <c r="N26" s="502"/>
      <c r="O26" s="502">
        <v>0</v>
      </c>
      <c r="P26" s="502">
        <f t="shared" si="0"/>
        <v>500</v>
      </c>
    </row>
    <row r="27" spans="1:16" s="504" customFormat="1" ht="14.25" x14ac:dyDescent="0.2">
      <c r="A27" s="500">
        <v>710</v>
      </c>
      <c r="B27" s="500">
        <v>2</v>
      </c>
      <c r="C27" s="500" t="s">
        <v>834</v>
      </c>
      <c r="D27" s="500" t="s">
        <v>838</v>
      </c>
      <c r="E27" s="500" t="s">
        <v>805</v>
      </c>
      <c r="F27" s="500"/>
      <c r="G27" s="500" t="s">
        <v>806</v>
      </c>
      <c r="H27" s="500"/>
      <c r="I27" s="508" t="s">
        <v>187</v>
      </c>
      <c r="J27" s="501" t="s">
        <v>544</v>
      </c>
      <c r="K27" s="502">
        <v>731.93</v>
      </c>
      <c r="L27" s="502">
        <v>694.93</v>
      </c>
      <c r="M27" s="502">
        <v>731.93</v>
      </c>
      <c r="N27" s="502"/>
      <c r="O27" s="502">
        <v>0</v>
      </c>
      <c r="P27" s="502">
        <f t="shared" si="0"/>
        <v>694.93</v>
      </c>
    </row>
    <row r="28" spans="1:16" s="504" customFormat="1" ht="14.25" x14ac:dyDescent="0.2">
      <c r="A28" s="500">
        <v>180</v>
      </c>
      <c r="B28" s="500">
        <v>0</v>
      </c>
      <c r="C28" s="500" t="s">
        <v>839</v>
      </c>
      <c r="D28" s="500" t="s">
        <v>840</v>
      </c>
      <c r="E28" s="500" t="s">
        <v>805</v>
      </c>
      <c r="F28" s="500"/>
      <c r="G28" s="500" t="s">
        <v>806</v>
      </c>
      <c r="H28" s="500"/>
      <c r="I28" s="508" t="s">
        <v>187</v>
      </c>
      <c r="J28" s="501" t="s">
        <v>544</v>
      </c>
      <c r="K28" s="502">
        <v>0</v>
      </c>
      <c r="L28" s="502">
        <v>579.72</v>
      </c>
      <c r="M28" s="502">
        <v>499.82</v>
      </c>
      <c r="N28" s="502"/>
      <c r="O28" s="502">
        <v>0</v>
      </c>
      <c r="P28" s="502">
        <f t="shared" si="0"/>
        <v>79.900000000000034</v>
      </c>
    </row>
    <row r="29" spans="1:16" s="504" customFormat="1" ht="14.25" x14ac:dyDescent="0.2">
      <c r="A29" s="500">
        <v>215</v>
      </c>
      <c r="B29" s="500">
        <v>0</v>
      </c>
      <c r="C29" s="500" t="s">
        <v>841</v>
      </c>
      <c r="D29" s="500" t="s">
        <v>842</v>
      </c>
      <c r="E29" s="500" t="s">
        <v>799</v>
      </c>
      <c r="F29" s="500"/>
      <c r="G29" s="500" t="s">
        <v>843</v>
      </c>
      <c r="H29" s="500"/>
      <c r="I29" s="508" t="s">
        <v>187</v>
      </c>
      <c r="J29" s="501" t="s">
        <v>544</v>
      </c>
      <c r="K29" s="502">
        <v>0</v>
      </c>
      <c r="L29" s="502">
        <v>464.33</v>
      </c>
      <c r="M29" s="502">
        <v>329.4</v>
      </c>
      <c r="N29" s="502"/>
      <c r="O29" s="502">
        <v>0</v>
      </c>
      <c r="P29" s="502">
        <f t="shared" si="0"/>
        <v>134.93</v>
      </c>
    </row>
    <row r="30" spans="1:16" s="504" customFormat="1" ht="14.25" x14ac:dyDescent="0.2">
      <c r="A30" s="500">
        <v>40</v>
      </c>
      <c r="B30" s="500">
        <v>0</v>
      </c>
      <c r="C30" s="500" t="s">
        <v>844</v>
      </c>
      <c r="D30" s="500" t="s">
        <v>845</v>
      </c>
      <c r="E30" s="500" t="s">
        <v>799</v>
      </c>
      <c r="F30" s="500"/>
      <c r="G30" s="500" t="s">
        <v>799</v>
      </c>
      <c r="H30" s="500"/>
      <c r="I30" s="508" t="s">
        <v>187</v>
      </c>
      <c r="J30" s="501" t="s">
        <v>544</v>
      </c>
      <c r="K30" s="502">
        <v>19</v>
      </c>
      <c r="L30" s="502">
        <v>85</v>
      </c>
      <c r="M30" s="502">
        <v>19</v>
      </c>
      <c r="N30" s="502"/>
      <c r="O30" s="502">
        <v>0</v>
      </c>
      <c r="P30" s="502">
        <f t="shared" si="0"/>
        <v>85</v>
      </c>
    </row>
    <row r="31" spans="1:16" s="504" customFormat="1" ht="14.25" x14ac:dyDescent="0.2">
      <c r="A31" s="500">
        <v>890</v>
      </c>
      <c r="B31" s="500">
        <v>0</v>
      </c>
      <c r="C31" s="500" t="s">
        <v>844</v>
      </c>
      <c r="D31" s="500" t="s">
        <v>846</v>
      </c>
      <c r="E31" s="500" t="s">
        <v>847</v>
      </c>
      <c r="F31" s="500"/>
      <c r="G31" s="500" t="s">
        <v>806</v>
      </c>
      <c r="H31" s="500"/>
      <c r="I31" s="508" t="s">
        <v>187</v>
      </c>
      <c r="J31" s="501" t="s">
        <v>544</v>
      </c>
      <c r="K31" s="502">
        <v>294</v>
      </c>
      <c r="L31" s="502">
        <v>160</v>
      </c>
      <c r="M31" s="502">
        <v>294</v>
      </c>
      <c r="N31" s="502"/>
      <c r="O31" s="502">
        <v>0</v>
      </c>
      <c r="P31" s="502">
        <f t="shared" si="0"/>
        <v>160</v>
      </c>
    </row>
    <row r="32" spans="1:16" s="504" customFormat="1" ht="14.25" x14ac:dyDescent="0.2">
      <c r="A32" s="500">
        <v>530</v>
      </c>
      <c r="B32" s="500">
        <v>0</v>
      </c>
      <c r="C32" s="500" t="s">
        <v>848</v>
      </c>
      <c r="D32" s="500" t="s">
        <v>849</v>
      </c>
      <c r="E32" s="500" t="s">
        <v>850</v>
      </c>
      <c r="F32" s="500"/>
      <c r="G32" s="500" t="s">
        <v>800</v>
      </c>
      <c r="H32" s="500"/>
      <c r="I32" s="508" t="s">
        <v>187</v>
      </c>
      <c r="J32" s="501" t="s">
        <v>544</v>
      </c>
      <c r="K32" s="502">
        <v>158.04</v>
      </c>
      <c r="L32" s="502">
        <v>1046.9100000000001</v>
      </c>
      <c r="M32" s="502">
        <v>991.54</v>
      </c>
      <c r="N32" s="502"/>
      <c r="O32" s="502">
        <v>0</v>
      </c>
      <c r="P32" s="502">
        <f t="shared" si="0"/>
        <v>213.41000000000008</v>
      </c>
    </row>
    <row r="33" spans="1:16" s="504" customFormat="1" ht="14.25" x14ac:dyDescent="0.2">
      <c r="A33" s="500">
        <v>641</v>
      </c>
      <c r="B33" s="500">
        <v>0</v>
      </c>
      <c r="C33" s="500" t="s">
        <v>848</v>
      </c>
      <c r="D33" s="500" t="s">
        <v>851</v>
      </c>
      <c r="E33" s="500" t="s">
        <v>852</v>
      </c>
      <c r="F33" s="500"/>
      <c r="G33" s="500" t="s">
        <v>799</v>
      </c>
      <c r="H33" s="500"/>
      <c r="I33" s="508" t="s">
        <v>187</v>
      </c>
      <c r="J33" s="501" t="s">
        <v>544</v>
      </c>
      <c r="K33" s="502">
        <v>0</v>
      </c>
      <c r="L33" s="502">
        <v>831</v>
      </c>
      <c r="M33" s="502">
        <v>0</v>
      </c>
      <c r="N33" s="502"/>
      <c r="O33" s="502">
        <v>0</v>
      </c>
      <c r="P33" s="502">
        <f t="shared" si="0"/>
        <v>831</v>
      </c>
    </row>
    <row r="34" spans="1:16" s="504" customFormat="1" ht="14.25" x14ac:dyDescent="0.2">
      <c r="A34" s="500">
        <v>840</v>
      </c>
      <c r="B34" s="500">
        <v>0</v>
      </c>
      <c r="C34" s="500" t="s">
        <v>848</v>
      </c>
      <c r="D34" s="500" t="s">
        <v>853</v>
      </c>
      <c r="E34" s="500" t="s">
        <v>805</v>
      </c>
      <c r="F34" s="500"/>
      <c r="G34" s="500" t="s">
        <v>800</v>
      </c>
      <c r="H34" s="500"/>
      <c r="I34" s="508" t="s">
        <v>187</v>
      </c>
      <c r="J34" s="501" t="s">
        <v>544</v>
      </c>
      <c r="K34" s="502">
        <v>188.8</v>
      </c>
      <c r="L34" s="502">
        <v>334.2</v>
      </c>
      <c r="M34" s="502">
        <v>188.8</v>
      </c>
      <c r="N34" s="502"/>
      <c r="O34" s="502">
        <v>0</v>
      </c>
      <c r="P34" s="502">
        <f t="shared" si="0"/>
        <v>334.2</v>
      </c>
    </row>
    <row r="35" spans="1:16" s="504" customFormat="1" ht="14.25" x14ac:dyDescent="0.2">
      <c r="A35" s="500">
        <v>60</v>
      </c>
      <c r="B35" s="500">
        <v>0</v>
      </c>
      <c r="C35" s="500" t="s">
        <v>854</v>
      </c>
      <c r="D35" s="500" t="s">
        <v>855</v>
      </c>
      <c r="E35" s="500" t="s">
        <v>799</v>
      </c>
      <c r="F35" s="500"/>
      <c r="G35" s="500" t="s">
        <v>799</v>
      </c>
      <c r="H35" s="500"/>
      <c r="I35" s="508" t="s">
        <v>197</v>
      </c>
      <c r="J35" s="501" t="s">
        <v>545</v>
      </c>
      <c r="K35" s="502">
        <v>1000</v>
      </c>
      <c r="L35" s="502">
        <v>30602.16</v>
      </c>
      <c r="M35" s="502">
        <v>27693.23</v>
      </c>
      <c r="N35" s="502"/>
      <c r="O35" s="502">
        <v>1000</v>
      </c>
      <c r="P35" s="502">
        <f t="shared" si="0"/>
        <v>2908.9300000000003</v>
      </c>
    </row>
    <row r="36" spans="1:16" s="504" customFormat="1" ht="14.25" x14ac:dyDescent="0.2">
      <c r="A36" s="500">
        <v>80</v>
      </c>
      <c r="B36" s="500">
        <v>0</v>
      </c>
      <c r="C36" s="500" t="s">
        <v>856</v>
      </c>
      <c r="D36" s="500" t="s">
        <v>857</v>
      </c>
      <c r="E36" s="500" t="s">
        <v>799</v>
      </c>
      <c r="F36" s="500"/>
      <c r="G36" s="500" t="s">
        <v>806</v>
      </c>
      <c r="H36" s="500"/>
      <c r="I36" s="508" t="s">
        <v>197</v>
      </c>
      <c r="J36" s="501" t="s">
        <v>545</v>
      </c>
      <c r="K36" s="502">
        <v>3152.56</v>
      </c>
      <c r="L36" s="502">
        <v>3300</v>
      </c>
      <c r="M36" s="502">
        <v>3152.56</v>
      </c>
      <c r="N36" s="502"/>
      <c r="O36" s="502">
        <v>0</v>
      </c>
      <c r="P36" s="502">
        <f t="shared" si="0"/>
        <v>3299.9999999999995</v>
      </c>
    </row>
    <row r="37" spans="1:16" s="504" customFormat="1" ht="14.25" x14ac:dyDescent="0.2">
      <c r="A37" s="500">
        <v>150</v>
      </c>
      <c r="B37" s="500">
        <v>1</v>
      </c>
      <c r="C37" s="500" t="s">
        <v>858</v>
      </c>
      <c r="D37" s="500" t="s">
        <v>859</v>
      </c>
      <c r="E37" s="500" t="s">
        <v>799</v>
      </c>
      <c r="F37" s="500"/>
      <c r="G37" s="500" t="s">
        <v>803</v>
      </c>
      <c r="H37" s="500"/>
      <c r="I37" s="508" t="s">
        <v>197</v>
      </c>
      <c r="J37" s="501" t="s">
        <v>545</v>
      </c>
      <c r="K37" s="502">
        <v>148.31</v>
      </c>
      <c r="L37" s="502">
        <v>44.28</v>
      </c>
      <c r="M37" s="502">
        <v>148.31</v>
      </c>
      <c r="N37" s="502"/>
      <c r="O37" s="502">
        <v>0</v>
      </c>
      <c r="P37" s="502">
        <f t="shared" si="0"/>
        <v>44.28</v>
      </c>
    </row>
    <row r="38" spans="1:16" s="504" customFormat="1" ht="14.25" x14ac:dyDescent="0.2">
      <c r="A38" s="500">
        <v>221</v>
      </c>
      <c r="B38" s="500">
        <v>0</v>
      </c>
      <c r="C38" s="500" t="s">
        <v>860</v>
      </c>
      <c r="D38" s="500" t="s">
        <v>861</v>
      </c>
      <c r="E38" s="500" t="s">
        <v>799</v>
      </c>
      <c r="F38" s="500"/>
      <c r="G38" s="500" t="s">
        <v>800</v>
      </c>
      <c r="H38" s="500"/>
      <c r="I38" s="508" t="s">
        <v>187</v>
      </c>
      <c r="J38" s="501" t="s">
        <v>545</v>
      </c>
      <c r="K38" s="502">
        <v>170.8</v>
      </c>
      <c r="L38" s="502">
        <v>170.8</v>
      </c>
      <c r="M38" s="502">
        <v>256.2</v>
      </c>
      <c r="N38" s="502"/>
      <c r="O38" s="502">
        <v>0</v>
      </c>
      <c r="P38" s="502">
        <f t="shared" si="0"/>
        <v>85.400000000000034</v>
      </c>
    </row>
    <row r="39" spans="1:16" s="504" customFormat="1" ht="14.25" x14ac:dyDescent="0.2">
      <c r="A39" s="500">
        <v>230</v>
      </c>
      <c r="B39" s="500">
        <v>0</v>
      </c>
      <c r="C39" s="500" t="s">
        <v>862</v>
      </c>
      <c r="D39" s="500" t="s">
        <v>863</v>
      </c>
      <c r="E39" s="500" t="s">
        <v>799</v>
      </c>
      <c r="F39" s="500"/>
      <c r="G39" s="500" t="s">
        <v>800</v>
      </c>
      <c r="H39" s="500"/>
      <c r="I39" s="508" t="s">
        <v>187</v>
      </c>
      <c r="J39" s="501" t="s">
        <v>545</v>
      </c>
      <c r="K39" s="502">
        <v>235.81</v>
      </c>
      <c r="L39" s="502">
        <v>3548.34</v>
      </c>
      <c r="M39" s="502">
        <v>3530.88</v>
      </c>
      <c r="N39" s="502"/>
      <c r="O39" s="502">
        <v>0</v>
      </c>
      <c r="P39" s="502">
        <f t="shared" si="0"/>
        <v>253.26999999999998</v>
      </c>
    </row>
    <row r="40" spans="1:16" s="504" customFormat="1" ht="14.25" x14ac:dyDescent="0.2">
      <c r="A40" s="500">
        <v>490</v>
      </c>
      <c r="B40" s="500">
        <v>5</v>
      </c>
      <c r="C40" s="500" t="s">
        <v>862</v>
      </c>
      <c r="D40" s="500" t="s">
        <v>864</v>
      </c>
      <c r="E40" s="500" t="s">
        <v>850</v>
      </c>
      <c r="F40" s="500"/>
      <c r="G40" s="500" t="s">
        <v>800</v>
      </c>
      <c r="H40" s="500"/>
      <c r="I40" s="508" t="s">
        <v>187</v>
      </c>
      <c r="J40" s="501" t="s">
        <v>545</v>
      </c>
      <c r="K40" s="502">
        <v>400</v>
      </c>
      <c r="L40" s="502">
        <v>856.1</v>
      </c>
      <c r="M40" s="502">
        <v>1256.0999999999999</v>
      </c>
      <c r="N40" s="502"/>
      <c r="O40" s="502">
        <v>0</v>
      </c>
      <c r="P40" s="502">
        <f t="shared" si="0"/>
        <v>0</v>
      </c>
    </row>
    <row r="41" spans="1:16" s="504" customFormat="1" ht="14.25" x14ac:dyDescent="0.2">
      <c r="A41" s="500">
        <v>230</v>
      </c>
      <c r="B41" s="500">
        <v>1</v>
      </c>
      <c r="C41" s="500" t="s">
        <v>865</v>
      </c>
      <c r="D41" s="500" t="s">
        <v>866</v>
      </c>
      <c r="E41" s="500" t="s">
        <v>799</v>
      </c>
      <c r="F41" s="500"/>
      <c r="G41" s="500" t="s">
        <v>800</v>
      </c>
      <c r="H41" s="500"/>
      <c r="I41" s="508" t="s">
        <v>187</v>
      </c>
      <c r="J41" s="501" t="s">
        <v>545</v>
      </c>
      <c r="K41" s="502">
        <v>282.82</v>
      </c>
      <c r="L41" s="502">
        <v>7348</v>
      </c>
      <c r="M41" s="502">
        <v>6963.28</v>
      </c>
      <c r="N41" s="502"/>
      <c r="O41" s="502">
        <v>0</v>
      </c>
      <c r="P41" s="502">
        <f t="shared" si="0"/>
        <v>667.54</v>
      </c>
    </row>
    <row r="42" spans="1:16" s="504" customFormat="1" ht="14.25" x14ac:dyDescent="0.2">
      <c r="A42" s="500">
        <v>490</v>
      </c>
      <c r="B42" s="500">
        <v>0</v>
      </c>
      <c r="C42" s="500" t="s">
        <v>865</v>
      </c>
      <c r="D42" s="500" t="s">
        <v>867</v>
      </c>
      <c r="E42" s="500" t="s">
        <v>850</v>
      </c>
      <c r="F42" s="500"/>
      <c r="G42" s="500" t="s">
        <v>800</v>
      </c>
      <c r="H42" s="500"/>
      <c r="I42" s="508" t="s">
        <v>187</v>
      </c>
      <c r="J42" s="501" t="s">
        <v>545</v>
      </c>
      <c r="K42" s="502">
        <v>396.75</v>
      </c>
      <c r="L42" s="502">
        <v>2967.88</v>
      </c>
      <c r="M42" s="502">
        <v>3101.2</v>
      </c>
      <c r="N42" s="502"/>
      <c r="O42" s="502">
        <v>0</v>
      </c>
      <c r="P42" s="502">
        <f t="shared" si="0"/>
        <v>263.43000000000029</v>
      </c>
    </row>
    <row r="43" spans="1:16" s="504" customFormat="1" ht="14.25" x14ac:dyDescent="0.2">
      <c r="A43" s="500">
        <v>950</v>
      </c>
      <c r="B43" s="500">
        <v>0</v>
      </c>
      <c r="C43" s="500" t="s">
        <v>865</v>
      </c>
      <c r="D43" s="500" t="s">
        <v>868</v>
      </c>
      <c r="E43" s="500" t="s">
        <v>847</v>
      </c>
      <c r="F43" s="500"/>
      <c r="G43" s="500" t="s">
        <v>805</v>
      </c>
      <c r="H43" s="500"/>
      <c r="I43" s="508" t="s">
        <v>187</v>
      </c>
      <c r="J43" s="501" t="s">
        <v>545</v>
      </c>
      <c r="K43" s="502">
        <v>148.47999999999999</v>
      </c>
      <c r="L43" s="502">
        <v>836.59</v>
      </c>
      <c r="M43" s="502">
        <v>919.76</v>
      </c>
      <c r="N43" s="502"/>
      <c r="O43" s="502">
        <v>0</v>
      </c>
      <c r="P43" s="502">
        <f t="shared" si="0"/>
        <v>65.310000000000059</v>
      </c>
    </row>
    <row r="44" spans="1:16" s="504" customFormat="1" ht="14.25" x14ac:dyDescent="0.2">
      <c r="A44" s="500">
        <v>230</v>
      </c>
      <c r="B44" s="500">
        <v>4</v>
      </c>
      <c r="C44" s="500" t="s">
        <v>869</v>
      </c>
      <c r="D44" s="500" t="s">
        <v>870</v>
      </c>
      <c r="E44" s="500" t="s">
        <v>799</v>
      </c>
      <c r="F44" s="500"/>
      <c r="G44" s="500" t="s">
        <v>800</v>
      </c>
      <c r="H44" s="500"/>
      <c r="I44" s="508" t="s">
        <v>187</v>
      </c>
      <c r="J44" s="501" t="s">
        <v>545</v>
      </c>
      <c r="K44" s="502">
        <v>47.18</v>
      </c>
      <c r="L44" s="502">
        <v>436.73</v>
      </c>
      <c r="M44" s="502">
        <v>417.69</v>
      </c>
      <c r="N44" s="502"/>
      <c r="O44" s="502">
        <v>0</v>
      </c>
      <c r="P44" s="502">
        <f t="shared" si="0"/>
        <v>66.220000000000027</v>
      </c>
    </row>
    <row r="45" spans="1:16" s="504" customFormat="1" ht="14.25" x14ac:dyDescent="0.2">
      <c r="A45" s="500">
        <v>490</v>
      </c>
      <c r="B45" s="500">
        <v>2</v>
      </c>
      <c r="C45" s="500" t="s">
        <v>869</v>
      </c>
      <c r="D45" s="500" t="s">
        <v>871</v>
      </c>
      <c r="E45" s="500" t="s">
        <v>850</v>
      </c>
      <c r="F45" s="500"/>
      <c r="G45" s="500" t="s">
        <v>800</v>
      </c>
      <c r="H45" s="500"/>
      <c r="I45" s="508" t="s">
        <v>187</v>
      </c>
      <c r="J45" s="501" t="s">
        <v>545</v>
      </c>
      <c r="K45" s="502">
        <v>0</v>
      </c>
      <c r="L45" s="502">
        <v>200</v>
      </c>
      <c r="M45" s="502">
        <v>0</v>
      </c>
      <c r="N45" s="502"/>
      <c r="O45" s="502">
        <v>0</v>
      </c>
      <c r="P45" s="502">
        <f t="shared" si="0"/>
        <v>200</v>
      </c>
    </row>
    <row r="46" spans="1:16" s="504" customFormat="1" ht="14.25" x14ac:dyDescent="0.2">
      <c r="A46" s="500">
        <v>650</v>
      </c>
      <c r="B46" s="500">
        <v>0</v>
      </c>
      <c r="C46" s="500" t="s">
        <v>869</v>
      </c>
      <c r="D46" s="500" t="s">
        <v>872</v>
      </c>
      <c r="E46" s="500" t="s">
        <v>852</v>
      </c>
      <c r="F46" s="500"/>
      <c r="G46" s="500" t="s">
        <v>799</v>
      </c>
      <c r="H46" s="500"/>
      <c r="I46" s="508" t="s">
        <v>187</v>
      </c>
      <c r="J46" s="501" t="s">
        <v>545</v>
      </c>
      <c r="K46" s="502">
        <v>295.76</v>
      </c>
      <c r="L46" s="502">
        <v>3499.8</v>
      </c>
      <c r="M46" s="502">
        <v>3583.97</v>
      </c>
      <c r="N46" s="502"/>
      <c r="O46" s="502">
        <v>0</v>
      </c>
      <c r="P46" s="502">
        <f t="shared" si="0"/>
        <v>211.5900000000006</v>
      </c>
    </row>
    <row r="47" spans="1:16" s="504" customFormat="1" ht="14.25" x14ac:dyDescent="0.2">
      <c r="A47" s="500">
        <v>230</v>
      </c>
      <c r="B47" s="500">
        <v>2</v>
      </c>
      <c r="C47" s="500" t="s">
        <v>873</v>
      </c>
      <c r="D47" s="500" t="s">
        <v>874</v>
      </c>
      <c r="E47" s="500" t="s">
        <v>799</v>
      </c>
      <c r="F47" s="500"/>
      <c r="G47" s="500" t="s">
        <v>800</v>
      </c>
      <c r="H47" s="500"/>
      <c r="I47" s="508" t="s">
        <v>187</v>
      </c>
      <c r="J47" s="501" t="s">
        <v>545</v>
      </c>
      <c r="K47" s="502">
        <v>579.11</v>
      </c>
      <c r="L47" s="502">
        <v>5083.18</v>
      </c>
      <c r="M47" s="502">
        <v>5363.68</v>
      </c>
      <c r="N47" s="502"/>
      <c r="O47" s="502">
        <v>0</v>
      </c>
      <c r="P47" s="502">
        <f t="shared" si="0"/>
        <v>298.60999999999967</v>
      </c>
    </row>
    <row r="48" spans="1:16" s="504" customFormat="1" ht="14.25" x14ac:dyDescent="0.2">
      <c r="A48" s="500">
        <v>490</v>
      </c>
      <c r="B48" s="500">
        <v>1</v>
      </c>
      <c r="C48" s="500" t="s">
        <v>873</v>
      </c>
      <c r="D48" s="500" t="s">
        <v>875</v>
      </c>
      <c r="E48" s="500" t="s">
        <v>850</v>
      </c>
      <c r="F48" s="500"/>
      <c r="G48" s="500" t="s">
        <v>800</v>
      </c>
      <c r="H48" s="500"/>
      <c r="I48" s="508" t="s">
        <v>187</v>
      </c>
      <c r="J48" s="501" t="s">
        <v>545</v>
      </c>
      <c r="K48" s="502">
        <v>0</v>
      </c>
      <c r="L48" s="502">
        <v>1874.56</v>
      </c>
      <c r="M48" s="502">
        <v>1454.44</v>
      </c>
      <c r="N48" s="502"/>
      <c r="O48" s="502">
        <v>0</v>
      </c>
      <c r="P48" s="502">
        <f t="shared" si="0"/>
        <v>420.11999999999989</v>
      </c>
    </row>
    <row r="49" spans="1:16" s="504" customFormat="1" ht="14.25" x14ac:dyDescent="0.2">
      <c r="A49" s="500">
        <v>230</v>
      </c>
      <c r="B49" s="500">
        <v>8</v>
      </c>
      <c r="C49" s="500" t="s">
        <v>876</v>
      </c>
      <c r="D49" s="500" t="s">
        <v>877</v>
      </c>
      <c r="E49" s="500" t="s">
        <v>799</v>
      </c>
      <c r="F49" s="500"/>
      <c r="G49" s="500" t="s">
        <v>800</v>
      </c>
      <c r="H49" s="500"/>
      <c r="I49" s="508" t="s">
        <v>187</v>
      </c>
      <c r="J49" s="501" t="s">
        <v>561</v>
      </c>
      <c r="K49" s="502">
        <v>465.93</v>
      </c>
      <c r="L49" s="502">
        <v>3122.43</v>
      </c>
      <c r="M49" s="502">
        <v>3058.77</v>
      </c>
      <c r="N49" s="502"/>
      <c r="O49" s="502">
        <v>0</v>
      </c>
      <c r="P49" s="502">
        <f t="shared" si="0"/>
        <v>529.58999999999969</v>
      </c>
    </row>
    <row r="50" spans="1:16" s="504" customFormat="1" ht="14.25" x14ac:dyDescent="0.2">
      <c r="A50" s="500">
        <v>210</v>
      </c>
      <c r="B50" s="500">
        <v>0</v>
      </c>
      <c r="C50" s="500" t="s">
        <v>878</v>
      </c>
      <c r="D50" s="500" t="s">
        <v>879</v>
      </c>
      <c r="E50" s="500" t="s">
        <v>799</v>
      </c>
      <c r="F50" s="500"/>
      <c r="G50" s="500" t="s">
        <v>799</v>
      </c>
      <c r="H50" s="500"/>
      <c r="I50" s="508" t="s">
        <v>187</v>
      </c>
      <c r="J50" s="501" t="s">
        <v>561</v>
      </c>
      <c r="K50" s="502">
        <v>1185.8399999999999</v>
      </c>
      <c r="L50" s="502">
        <v>1300</v>
      </c>
      <c r="M50" s="502">
        <v>2485.84</v>
      </c>
      <c r="N50" s="502"/>
      <c r="O50" s="502">
        <v>0</v>
      </c>
      <c r="P50" s="502">
        <f t="shared" si="0"/>
        <v>0</v>
      </c>
    </row>
    <row r="51" spans="1:16" s="504" customFormat="1" ht="14.25" x14ac:dyDescent="0.2">
      <c r="A51" s="500">
        <v>710</v>
      </c>
      <c r="B51" s="500">
        <v>0</v>
      </c>
      <c r="C51" s="500" t="s">
        <v>880</v>
      </c>
      <c r="D51" s="500" t="s">
        <v>881</v>
      </c>
      <c r="E51" s="500" t="s">
        <v>836</v>
      </c>
      <c r="F51" s="500"/>
      <c r="G51" s="500" t="s">
        <v>829</v>
      </c>
      <c r="H51" s="500"/>
      <c r="I51" s="508" t="s">
        <v>187</v>
      </c>
      <c r="J51" s="501" t="s">
        <v>545</v>
      </c>
      <c r="K51" s="502">
        <v>571</v>
      </c>
      <c r="L51" s="502">
        <v>523.02</v>
      </c>
      <c r="M51" s="502">
        <v>875.02</v>
      </c>
      <c r="N51" s="502"/>
      <c r="O51" s="502">
        <v>0</v>
      </c>
      <c r="P51" s="502">
        <f t="shared" si="0"/>
        <v>219</v>
      </c>
    </row>
    <row r="52" spans="1:16" s="504" customFormat="1" ht="14.25" x14ac:dyDescent="0.2">
      <c r="A52" s="500">
        <v>390</v>
      </c>
      <c r="B52" s="500">
        <v>0</v>
      </c>
      <c r="C52" s="500" t="s">
        <v>882</v>
      </c>
      <c r="D52" s="500" t="s">
        <v>883</v>
      </c>
      <c r="E52" s="500" t="s">
        <v>850</v>
      </c>
      <c r="F52" s="500"/>
      <c r="G52" s="500" t="s">
        <v>800</v>
      </c>
      <c r="H52" s="500"/>
      <c r="I52" s="508" t="s">
        <v>187</v>
      </c>
      <c r="J52" s="501" t="s">
        <v>545</v>
      </c>
      <c r="K52" s="502">
        <v>5306.2</v>
      </c>
      <c r="L52" s="502">
        <v>4861.12</v>
      </c>
      <c r="M52" s="502">
        <v>9286.9699999999993</v>
      </c>
      <c r="N52" s="502"/>
      <c r="O52" s="502">
        <v>0.5</v>
      </c>
      <c r="P52" s="502">
        <f t="shared" si="0"/>
        <v>879.85000000000036</v>
      </c>
    </row>
    <row r="53" spans="1:16" s="504" customFormat="1" ht="14.25" x14ac:dyDescent="0.2">
      <c r="A53" s="500">
        <v>690</v>
      </c>
      <c r="B53" s="500">
        <v>0</v>
      </c>
      <c r="C53" s="500" t="s">
        <v>884</v>
      </c>
      <c r="D53" s="500" t="s">
        <v>885</v>
      </c>
      <c r="E53" s="500" t="s">
        <v>836</v>
      </c>
      <c r="F53" s="500"/>
      <c r="G53" s="500" t="s">
        <v>829</v>
      </c>
      <c r="H53" s="500"/>
      <c r="I53" s="508" t="s">
        <v>187</v>
      </c>
      <c r="J53" s="501" t="s">
        <v>545</v>
      </c>
      <c r="K53" s="502">
        <v>336.65</v>
      </c>
      <c r="L53" s="502">
        <v>1362.07</v>
      </c>
      <c r="M53" s="502">
        <v>1359.57</v>
      </c>
      <c r="N53" s="502"/>
      <c r="O53" s="502">
        <v>0</v>
      </c>
      <c r="P53" s="502">
        <f t="shared" si="0"/>
        <v>339.14999999999986</v>
      </c>
    </row>
    <row r="54" spans="1:16" s="504" customFormat="1" ht="14.25" x14ac:dyDescent="0.2">
      <c r="A54" s="500">
        <v>85</v>
      </c>
      <c r="B54" s="500">
        <v>0</v>
      </c>
      <c r="C54" s="500" t="s">
        <v>886</v>
      </c>
      <c r="D54" s="500" t="s">
        <v>887</v>
      </c>
      <c r="E54" s="500" t="s">
        <v>843</v>
      </c>
      <c r="F54" s="500"/>
      <c r="G54" s="500" t="s">
        <v>799</v>
      </c>
      <c r="H54" s="500"/>
      <c r="I54" s="508" t="s">
        <v>197</v>
      </c>
      <c r="J54" s="501" t="s">
        <v>545</v>
      </c>
      <c r="K54" s="502">
        <v>1489.32</v>
      </c>
      <c r="L54" s="502">
        <v>5923.06</v>
      </c>
      <c r="M54" s="502">
        <v>5897.58</v>
      </c>
      <c r="N54" s="502"/>
      <c r="O54" s="502">
        <v>0</v>
      </c>
      <c r="P54" s="502">
        <f t="shared" si="0"/>
        <v>1514.8000000000002</v>
      </c>
    </row>
    <row r="55" spans="1:16" s="504" customFormat="1" ht="14.25" x14ac:dyDescent="0.2">
      <c r="A55" s="500">
        <v>420</v>
      </c>
      <c r="B55" s="500">
        <v>0</v>
      </c>
      <c r="C55" s="500" t="s">
        <v>888</v>
      </c>
      <c r="D55" s="500" t="s">
        <v>889</v>
      </c>
      <c r="E55" s="500" t="s">
        <v>843</v>
      </c>
      <c r="F55" s="500"/>
      <c r="G55" s="500" t="s">
        <v>799</v>
      </c>
      <c r="H55" s="500"/>
      <c r="I55" s="508" t="s">
        <v>197</v>
      </c>
      <c r="J55" s="501" t="s">
        <v>545</v>
      </c>
      <c r="K55" s="502">
        <v>0</v>
      </c>
      <c r="L55" s="502">
        <v>11000</v>
      </c>
      <c r="M55" s="502">
        <v>9477.44</v>
      </c>
      <c r="N55" s="502"/>
      <c r="O55" s="502">
        <v>0</v>
      </c>
      <c r="P55" s="502">
        <f t="shared" si="0"/>
        <v>1522.5599999999995</v>
      </c>
    </row>
    <row r="56" spans="1:16" s="504" customFormat="1" ht="14.25" x14ac:dyDescent="0.2">
      <c r="A56" s="500">
        <v>614</v>
      </c>
      <c r="B56" s="500">
        <v>0</v>
      </c>
      <c r="C56" s="500" t="s">
        <v>888</v>
      </c>
      <c r="D56" s="500" t="s">
        <v>890</v>
      </c>
      <c r="E56" s="500" t="s">
        <v>829</v>
      </c>
      <c r="F56" s="500"/>
      <c r="G56" s="500" t="s">
        <v>800</v>
      </c>
      <c r="H56" s="500"/>
      <c r="I56" s="508" t="s">
        <v>197</v>
      </c>
      <c r="J56" s="501" t="s">
        <v>545</v>
      </c>
      <c r="K56" s="502">
        <v>1976</v>
      </c>
      <c r="L56" s="502">
        <v>7698.14</v>
      </c>
      <c r="M56" s="502">
        <v>1976</v>
      </c>
      <c r="N56" s="502"/>
      <c r="O56" s="502">
        <v>0</v>
      </c>
      <c r="P56" s="502">
        <f t="shared" si="0"/>
        <v>7698.1399999999994</v>
      </c>
    </row>
    <row r="57" spans="1:16" s="504" customFormat="1" ht="14.25" x14ac:dyDescent="0.2">
      <c r="A57" s="500">
        <v>230</v>
      </c>
      <c r="B57" s="500">
        <v>11</v>
      </c>
      <c r="C57" s="500" t="s">
        <v>891</v>
      </c>
      <c r="D57" s="500" t="s">
        <v>892</v>
      </c>
      <c r="E57" s="500" t="s">
        <v>799</v>
      </c>
      <c r="F57" s="500"/>
      <c r="G57" s="500" t="s">
        <v>826</v>
      </c>
      <c r="H57" s="500"/>
      <c r="I57" s="508" t="s">
        <v>187</v>
      </c>
      <c r="J57" s="501" t="s">
        <v>545</v>
      </c>
      <c r="K57" s="502">
        <v>488</v>
      </c>
      <c r="L57" s="502">
        <v>7844.6</v>
      </c>
      <c r="M57" s="502">
        <v>7673.8</v>
      </c>
      <c r="N57" s="502"/>
      <c r="O57" s="502">
        <v>0</v>
      </c>
      <c r="P57" s="502">
        <f t="shared" si="0"/>
        <v>658.80000000000018</v>
      </c>
    </row>
    <row r="58" spans="1:16" s="504" customFormat="1" ht="14.25" x14ac:dyDescent="0.2">
      <c r="A58" s="500">
        <v>586</v>
      </c>
      <c r="B58" s="500">
        <v>0</v>
      </c>
      <c r="C58" s="500" t="s">
        <v>893</v>
      </c>
      <c r="D58" s="500" t="s">
        <v>894</v>
      </c>
      <c r="E58" s="500" t="s">
        <v>850</v>
      </c>
      <c r="F58" s="500"/>
      <c r="G58" s="500" t="s">
        <v>852</v>
      </c>
      <c r="H58" s="500"/>
      <c r="I58" s="508" t="s">
        <v>187</v>
      </c>
      <c r="J58" s="501" t="s">
        <v>545</v>
      </c>
      <c r="K58" s="502">
        <v>545.6</v>
      </c>
      <c r="L58" s="502">
        <v>12467.4</v>
      </c>
      <c r="M58" s="502">
        <v>11814</v>
      </c>
      <c r="N58" s="502"/>
      <c r="O58" s="502">
        <v>0</v>
      </c>
      <c r="P58" s="502">
        <f t="shared" si="0"/>
        <v>1199</v>
      </c>
    </row>
    <row r="59" spans="1:16" s="504" customFormat="1" ht="14.25" x14ac:dyDescent="0.2">
      <c r="A59" s="500">
        <v>800</v>
      </c>
      <c r="B59" s="500">
        <v>0</v>
      </c>
      <c r="C59" s="500" t="s">
        <v>895</v>
      </c>
      <c r="D59" s="500" t="s">
        <v>896</v>
      </c>
      <c r="E59" s="500" t="s">
        <v>805</v>
      </c>
      <c r="F59" s="500"/>
      <c r="G59" s="500" t="s">
        <v>806</v>
      </c>
      <c r="H59" s="500"/>
      <c r="I59" s="508" t="s">
        <v>187</v>
      </c>
      <c r="J59" s="501" t="s">
        <v>545</v>
      </c>
      <c r="K59" s="502">
        <v>1621.3</v>
      </c>
      <c r="L59" s="502">
        <v>17572.32</v>
      </c>
      <c r="M59" s="502">
        <v>19193.62</v>
      </c>
      <c r="N59" s="502"/>
      <c r="O59" s="502">
        <v>0</v>
      </c>
      <c r="P59" s="502">
        <f t="shared" si="0"/>
        <v>0</v>
      </c>
    </row>
    <row r="60" spans="1:16" s="504" customFormat="1" ht="14.25" x14ac:dyDescent="0.2">
      <c r="A60" s="500">
        <v>720</v>
      </c>
      <c r="B60" s="500">
        <v>0</v>
      </c>
      <c r="C60" s="500" t="s">
        <v>897</v>
      </c>
      <c r="D60" s="500" t="s">
        <v>898</v>
      </c>
      <c r="E60" s="500" t="s">
        <v>836</v>
      </c>
      <c r="F60" s="500"/>
      <c r="G60" s="500" t="s">
        <v>829</v>
      </c>
      <c r="H60" s="500"/>
      <c r="I60" s="508" t="s">
        <v>187</v>
      </c>
      <c r="J60" s="501" t="s">
        <v>545</v>
      </c>
      <c r="K60" s="502">
        <v>357.63</v>
      </c>
      <c r="L60" s="502">
        <v>27963.39</v>
      </c>
      <c r="M60" s="502">
        <v>27430.73</v>
      </c>
      <c r="N60" s="502"/>
      <c r="O60" s="502">
        <v>122.18</v>
      </c>
      <c r="P60" s="502">
        <f t="shared" si="0"/>
        <v>768.11000000000081</v>
      </c>
    </row>
    <row r="61" spans="1:16" s="504" customFormat="1" ht="14.25" x14ac:dyDescent="0.2">
      <c r="A61" s="500">
        <v>590</v>
      </c>
      <c r="B61" s="500">
        <v>0</v>
      </c>
      <c r="C61" s="500" t="s">
        <v>899</v>
      </c>
      <c r="D61" s="500" t="s">
        <v>900</v>
      </c>
      <c r="E61" s="500" t="s">
        <v>850</v>
      </c>
      <c r="F61" s="500"/>
      <c r="G61" s="500" t="s">
        <v>852</v>
      </c>
      <c r="H61" s="500"/>
      <c r="I61" s="508" t="s">
        <v>187</v>
      </c>
      <c r="J61" s="501" t="s">
        <v>545</v>
      </c>
      <c r="K61" s="502">
        <v>0</v>
      </c>
      <c r="L61" s="502">
        <v>2500</v>
      </c>
      <c r="M61" s="502">
        <v>2500</v>
      </c>
      <c r="N61" s="502"/>
      <c r="O61" s="502">
        <v>0</v>
      </c>
      <c r="P61" s="502">
        <f t="shared" si="0"/>
        <v>0</v>
      </c>
    </row>
    <row r="62" spans="1:16" s="504" customFormat="1" ht="14.25" x14ac:dyDescent="0.2">
      <c r="A62" s="500">
        <v>700</v>
      </c>
      <c r="B62" s="500">
        <v>0</v>
      </c>
      <c r="C62" s="500" t="s">
        <v>899</v>
      </c>
      <c r="D62" s="500" t="s">
        <v>901</v>
      </c>
      <c r="E62" s="500" t="s">
        <v>836</v>
      </c>
      <c r="F62" s="500"/>
      <c r="G62" s="500" t="s">
        <v>829</v>
      </c>
      <c r="H62" s="500"/>
      <c r="I62" s="508" t="s">
        <v>187</v>
      </c>
      <c r="J62" s="501" t="s">
        <v>545</v>
      </c>
      <c r="K62" s="502">
        <v>4000</v>
      </c>
      <c r="L62" s="502">
        <v>1000</v>
      </c>
      <c r="M62" s="502">
        <v>4000</v>
      </c>
      <c r="N62" s="502"/>
      <c r="O62" s="502">
        <v>0</v>
      </c>
      <c r="P62" s="502">
        <f t="shared" si="0"/>
        <v>1000</v>
      </c>
    </row>
    <row r="63" spans="1:16" s="504" customFormat="1" ht="14.25" x14ac:dyDescent="0.2">
      <c r="A63" s="500">
        <v>230</v>
      </c>
      <c r="B63" s="500">
        <v>3</v>
      </c>
      <c r="C63" s="500" t="s">
        <v>902</v>
      </c>
      <c r="D63" s="500" t="s">
        <v>903</v>
      </c>
      <c r="E63" s="500" t="s">
        <v>799</v>
      </c>
      <c r="F63" s="500"/>
      <c r="G63" s="500" t="s">
        <v>800</v>
      </c>
      <c r="H63" s="500"/>
      <c r="I63" s="508" t="s">
        <v>197</v>
      </c>
      <c r="J63" s="501" t="s">
        <v>545</v>
      </c>
      <c r="K63" s="502">
        <v>82.75</v>
      </c>
      <c r="L63" s="502">
        <v>387.8</v>
      </c>
      <c r="M63" s="502">
        <v>82.75</v>
      </c>
      <c r="N63" s="502"/>
      <c r="O63" s="502">
        <v>0</v>
      </c>
      <c r="P63" s="502">
        <f t="shared" si="0"/>
        <v>387.8</v>
      </c>
    </row>
    <row r="64" spans="1:16" s="504" customFormat="1" ht="14.25" x14ac:dyDescent="0.2">
      <c r="A64" s="500">
        <v>300</v>
      </c>
      <c r="B64" s="500">
        <v>0</v>
      </c>
      <c r="C64" s="500" t="s">
        <v>904</v>
      </c>
      <c r="D64" s="500" t="s">
        <v>905</v>
      </c>
      <c r="E64" s="500" t="s">
        <v>799</v>
      </c>
      <c r="F64" s="500"/>
      <c r="G64" s="500" t="s">
        <v>806</v>
      </c>
      <c r="H64" s="500"/>
      <c r="I64" s="508" t="s">
        <v>197</v>
      </c>
      <c r="J64" s="501" t="s">
        <v>545</v>
      </c>
      <c r="K64" s="502">
        <v>1017.22</v>
      </c>
      <c r="L64" s="502">
        <v>1683.21</v>
      </c>
      <c r="M64" s="502">
        <v>1138.03</v>
      </c>
      <c r="N64" s="502"/>
      <c r="O64" s="502">
        <v>16</v>
      </c>
      <c r="P64" s="502">
        <f t="shared" si="0"/>
        <v>1546.4000000000003</v>
      </c>
    </row>
    <row r="65" spans="1:16" s="504" customFormat="1" ht="14.25" x14ac:dyDescent="0.2">
      <c r="A65" s="500">
        <v>219</v>
      </c>
      <c r="B65" s="500">
        <v>0</v>
      </c>
      <c r="C65" s="500" t="s">
        <v>906</v>
      </c>
      <c r="D65" s="500" t="s">
        <v>907</v>
      </c>
      <c r="E65" s="500" t="s">
        <v>799</v>
      </c>
      <c r="F65" s="500"/>
      <c r="G65" s="500" t="s">
        <v>843</v>
      </c>
      <c r="H65" s="500"/>
      <c r="I65" s="508" t="s">
        <v>187</v>
      </c>
      <c r="J65" s="501" t="s">
        <v>545</v>
      </c>
      <c r="K65" s="502">
        <v>1350.64</v>
      </c>
      <c r="L65" s="502">
        <v>2781.6</v>
      </c>
      <c r="M65" s="502">
        <v>2223.4499999999998</v>
      </c>
      <c r="N65" s="502"/>
      <c r="O65" s="502">
        <v>42.19</v>
      </c>
      <c r="P65" s="502">
        <f t="shared" si="0"/>
        <v>1866.6</v>
      </c>
    </row>
    <row r="66" spans="1:16" s="504" customFormat="1" ht="14.25" x14ac:dyDescent="0.2">
      <c r="A66" s="500">
        <v>220</v>
      </c>
      <c r="B66" s="500">
        <v>0</v>
      </c>
      <c r="C66" s="500" t="s">
        <v>906</v>
      </c>
      <c r="D66" s="500" t="s">
        <v>908</v>
      </c>
      <c r="E66" s="500" t="s">
        <v>799</v>
      </c>
      <c r="F66" s="500"/>
      <c r="G66" s="500" t="s">
        <v>843</v>
      </c>
      <c r="H66" s="500"/>
      <c r="I66" s="508" t="s">
        <v>187</v>
      </c>
      <c r="J66" s="501" t="s">
        <v>545</v>
      </c>
      <c r="K66" s="502">
        <v>0</v>
      </c>
      <c r="L66" s="502">
        <v>31164.65</v>
      </c>
      <c r="M66" s="502">
        <v>27510.3</v>
      </c>
      <c r="N66" s="502"/>
      <c r="O66" s="502">
        <v>0</v>
      </c>
      <c r="P66" s="502">
        <f t="shared" si="0"/>
        <v>3654.3500000000022</v>
      </c>
    </row>
    <row r="67" spans="1:16" s="504" customFormat="1" ht="14.25" x14ac:dyDescent="0.2">
      <c r="A67" s="500">
        <v>225</v>
      </c>
      <c r="B67" s="500">
        <v>0</v>
      </c>
      <c r="C67" s="500" t="s">
        <v>906</v>
      </c>
      <c r="D67" s="500" t="s">
        <v>909</v>
      </c>
      <c r="E67" s="500" t="s">
        <v>799</v>
      </c>
      <c r="F67" s="500"/>
      <c r="G67" s="500" t="s">
        <v>800</v>
      </c>
      <c r="H67" s="500"/>
      <c r="I67" s="508" t="s">
        <v>187</v>
      </c>
      <c r="J67" s="501" t="s">
        <v>545</v>
      </c>
      <c r="K67" s="502">
        <v>0</v>
      </c>
      <c r="L67" s="502">
        <v>4636</v>
      </c>
      <c r="M67" s="502">
        <v>4636</v>
      </c>
      <c r="N67" s="502"/>
      <c r="O67" s="502">
        <v>0</v>
      </c>
      <c r="P67" s="502">
        <f t="shared" ref="P67:P130" si="1">K67+L67-M67+N67-O67</f>
        <v>0</v>
      </c>
    </row>
    <row r="68" spans="1:16" s="504" customFormat="1" ht="14.25" x14ac:dyDescent="0.2">
      <c r="A68" s="500">
        <v>230</v>
      </c>
      <c r="B68" s="500">
        <v>6</v>
      </c>
      <c r="C68" s="500" t="s">
        <v>906</v>
      </c>
      <c r="D68" s="500" t="s">
        <v>910</v>
      </c>
      <c r="E68" s="500" t="s">
        <v>799</v>
      </c>
      <c r="F68" s="500"/>
      <c r="G68" s="500" t="s">
        <v>836</v>
      </c>
      <c r="H68" s="500"/>
      <c r="I68" s="508" t="s">
        <v>187</v>
      </c>
      <c r="J68" s="501" t="s">
        <v>545</v>
      </c>
      <c r="K68" s="502">
        <v>527.04</v>
      </c>
      <c r="L68" s="502">
        <v>824.72</v>
      </c>
      <c r="M68" s="502">
        <v>1351.76</v>
      </c>
      <c r="N68" s="502"/>
      <c r="O68" s="502">
        <v>0</v>
      </c>
      <c r="P68" s="502">
        <f t="shared" si="1"/>
        <v>0</v>
      </c>
    </row>
    <row r="69" spans="1:16" s="504" customFormat="1" ht="14.25" x14ac:dyDescent="0.2">
      <c r="A69" s="500">
        <v>716</v>
      </c>
      <c r="B69" s="500">
        <v>0</v>
      </c>
      <c r="C69" s="500" t="s">
        <v>911</v>
      </c>
      <c r="D69" s="500" t="s">
        <v>912</v>
      </c>
      <c r="E69" s="500" t="s">
        <v>847</v>
      </c>
      <c r="F69" s="500"/>
      <c r="G69" s="500" t="s">
        <v>829</v>
      </c>
      <c r="H69" s="500"/>
      <c r="I69" s="508" t="s">
        <v>197</v>
      </c>
      <c r="J69" s="501" t="s">
        <v>545</v>
      </c>
      <c r="K69" s="502">
        <v>38.5</v>
      </c>
      <c r="L69" s="502">
        <v>707.7</v>
      </c>
      <c r="M69" s="502">
        <v>560.76</v>
      </c>
      <c r="N69" s="502"/>
      <c r="O69" s="502">
        <v>0</v>
      </c>
      <c r="P69" s="502">
        <f t="shared" si="1"/>
        <v>185.44000000000005</v>
      </c>
    </row>
    <row r="70" spans="1:16" s="504" customFormat="1" ht="14.25" x14ac:dyDescent="0.2">
      <c r="A70" s="500">
        <v>885</v>
      </c>
      <c r="B70" s="500">
        <v>0</v>
      </c>
      <c r="C70" s="500" t="s">
        <v>911</v>
      </c>
      <c r="D70" s="500" t="s">
        <v>913</v>
      </c>
      <c r="E70" s="500" t="s">
        <v>847</v>
      </c>
      <c r="F70" s="500"/>
      <c r="G70" s="500" t="s">
        <v>829</v>
      </c>
      <c r="H70" s="500"/>
      <c r="I70" s="508" t="s">
        <v>197</v>
      </c>
      <c r="J70" s="501" t="s">
        <v>545</v>
      </c>
      <c r="K70" s="502">
        <v>1089</v>
      </c>
      <c r="L70" s="502">
        <v>1683</v>
      </c>
      <c r="M70" s="502">
        <v>1089</v>
      </c>
      <c r="N70" s="502"/>
      <c r="O70" s="502">
        <v>0</v>
      </c>
      <c r="P70" s="502">
        <f t="shared" si="1"/>
        <v>1683</v>
      </c>
    </row>
    <row r="71" spans="1:16" s="504" customFormat="1" ht="14.25" x14ac:dyDescent="0.2">
      <c r="A71" s="500">
        <v>575</v>
      </c>
      <c r="B71" s="500">
        <v>0</v>
      </c>
      <c r="C71" s="500" t="s">
        <v>914</v>
      </c>
      <c r="D71" s="500" t="s">
        <v>915</v>
      </c>
      <c r="E71" s="500" t="s">
        <v>850</v>
      </c>
      <c r="F71" s="500"/>
      <c r="G71" s="500" t="s">
        <v>800</v>
      </c>
      <c r="H71" s="500"/>
      <c r="I71" s="508" t="s">
        <v>190</v>
      </c>
      <c r="J71" s="506" t="s">
        <v>562</v>
      </c>
      <c r="K71" s="502">
        <v>0</v>
      </c>
      <c r="L71" s="502">
        <v>2930</v>
      </c>
      <c r="M71" s="502">
        <v>0</v>
      </c>
      <c r="N71" s="502"/>
      <c r="O71" s="502">
        <v>0</v>
      </c>
      <c r="P71" s="502">
        <f t="shared" si="1"/>
        <v>2930</v>
      </c>
    </row>
    <row r="72" spans="1:16" s="504" customFormat="1" ht="14.25" x14ac:dyDescent="0.2">
      <c r="A72" s="500">
        <v>337</v>
      </c>
      <c r="B72" s="500">
        <v>0</v>
      </c>
      <c r="C72" s="500" t="s">
        <v>916</v>
      </c>
      <c r="D72" s="500" t="s">
        <v>917</v>
      </c>
      <c r="E72" s="500" t="s">
        <v>799</v>
      </c>
      <c r="F72" s="500"/>
      <c r="G72" s="500" t="s">
        <v>850</v>
      </c>
      <c r="H72" s="500"/>
      <c r="I72" s="508" t="s">
        <v>190</v>
      </c>
      <c r="J72" s="506" t="s">
        <v>562</v>
      </c>
      <c r="K72" s="502">
        <v>0</v>
      </c>
      <c r="L72" s="502">
        <v>5052</v>
      </c>
      <c r="M72" s="502">
        <v>0</v>
      </c>
      <c r="N72" s="502"/>
      <c r="O72" s="502">
        <v>0</v>
      </c>
      <c r="P72" s="502">
        <f t="shared" si="1"/>
        <v>5052</v>
      </c>
    </row>
    <row r="73" spans="1:16" s="504" customFormat="1" ht="14.25" x14ac:dyDescent="0.2">
      <c r="A73" s="500">
        <v>110</v>
      </c>
      <c r="B73" s="500">
        <v>0</v>
      </c>
      <c r="C73" s="500" t="s">
        <v>918</v>
      </c>
      <c r="D73" s="500" t="s">
        <v>919</v>
      </c>
      <c r="E73" s="500" t="s">
        <v>799</v>
      </c>
      <c r="F73" s="500"/>
      <c r="G73" s="500" t="s">
        <v>800</v>
      </c>
      <c r="H73" s="500"/>
      <c r="I73" s="508" t="s">
        <v>190</v>
      </c>
      <c r="J73" s="506" t="s">
        <v>562</v>
      </c>
      <c r="K73" s="502">
        <v>103.94</v>
      </c>
      <c r="L73" s="502">
        <v>3463.94</v>
      </c>
      <c r="M73" s="502">
        <v>3463.94</v>
      </c>
      <c r="N73" s="502"/>
      <c r="O73" s="502">
        <v>0</v>
      </c>
      <c r="P73" s="502">
        <f t="shared" si="1"/>
        <v>103.94000000000005</v>
      </c>
    </row>
    <row r="74" spans="1:16" s="504" customFormat="1" ht="14.25" x14ac:dyDescent="0.2">
      <c r="A74" s="500">
        <v>335</v>
      </c>
      <c r="B74" s="500">
        <v>0</v>
      </c>
      <c r="C74" s="500" t="s">
        <v>920</v>
      </c>
      <c r="D74" s="500" t="s">
        <v>921</v>
      </c>
      <c r="E74" s="500" t="s">
        <v>799</v>
      </c>
      <c r="F74" s="500"/>
      <c r="G74" s="500" t="s">
        <v>850</v>
      </c>
      <c r="H74" s="500"/>
      <c r="I74" s="508" t="s">
        <v>190</v>
      </c>
      <c r="J74" s="506" t="s">
        <v>562</v>
      </c>
      <c r="K74" s="502">
        <v>1907.87</v>
      </c>
      <c r="L74" s="502">
        <v>0</v>
      </c>
      <c r="M74" s="502">
        <v>0</v>
      </c>
      <c r="N74" s="502"/>
      <c r="O74" s="502">
        <v>1907.87</v>
      </c>
      <c r="P74" s="502">
        <f t="shared" si="1"/>
        <v>0</v>
      </c>
    </row>
    <row r="75" spans="1:16" s="504" customFormat="1" ht="14.25" x14ac:dyDescent="0.2">
      <c r="A75" s="500">
        <v>440</v>
      </c>
      <c r="B75" s="500">
        <v>0</v>
      </c>
      <c r="C75" s="500" t="s">
        <v>922</v>
      </c>
      <c r="D75" s="500" t="s">
        <v>923</v>
      </c>
      <c r="E75" s="500" t="s">
        <v>799</v>
      </c>
      <c r="F75" s="500"/>
      <c r="G75" s="500" t="s">
        <v>803</v>
      </c>
      <c r="H75" s="500"/>
      <c r="I75" s="508" t="s">
        <v>190</v>
      </c>
      <c r="J75" s="506" t="s">
        <v>562</v>
      </c>
      <c r="K75" s="502">
        <v>157</v>
      </c>
      <c r="L75" s="502">
        <v>315</v>
      </c>
      <c r="M75" s="502">
        <v>315</v>
      </c>
      <c r="N75" s="502"/>
      <c r="O75" s="502">
        <v>0</v>
      </c>
      <c r="P75" s="502">
        <f t="shared" si="1"/>
        <v>157</v>
      </c>
    </row>
    <row r="76" spans="1:16" s="504" customFormat="1" ht="14.25" x14ac:dyDescent="0.2">
      <c r="A76" s="500">
        <v>570</v>
      </c>
      <c r="B76" s="500">
        <v>0</v>
      </c>
      <c r="C76" s="500" t="s">
        <v>922</v>
      </c>
      <c r="D76" s="500" t="s">
        <v>924</v>
      </c>
      <c r="E76" s="500" t="s">
        <v>850</v>
      </c>
      <c r="F76" s="500"/>
      <c r="G76" s="500" t="s">
        <v>800</v>
      </c>
      <c r="H76" s="500"/>
      <c r="I76" s="508" t="s">
        <v>190</v>
      </c>
      <c r="J76" s="506" t="s">
        <v>562</v>
      </c>
      <c r="K76" s="502">
        <v>2363.4499999999998</v>
      </c>
      <c r="L76" s="502">
        <v>2500</v>
      </c>
      <c r="M76" s="502">
        <v>0</v>
      </c>
      <c r="N76" s="502"/>
      <c r="O76" s="502">
        <v>0</v>
      </c>
      <c r="P76" s="502">
        <f t="shared" si="1"/>
        <v>4863.45</v>
      </c>
    </row>
    <row r="77" spans="1:16" s="504" customFormat="1" ht="14.25" x14ac:dyDescent="0.2">
      <c r="A77" s="500">
        <v>630</v>
      </c>
      <c r="B77" s="500">
        <v>0</v>
      </c>
      <c r="C77" s="500" t="s">
        <v>922</v>
      </c>
      <c r="D77" s="500" t="s">
        <v>925</v>
      </c>
      <c r="E77" s="500" t="s">
        <v>829</v>
      </c>
      <c r="F77" s="500"/>
      <c r="G77" s="500" t="s">
        <v>800</v>
      </c>
      <c r="H77" s="500"/>
      <c r="I77" s="508" t="s">
        <v>190</v>
      </c>
      <c r="J77" s="506" t="s">
        <v>562</v>
      </c>
      <c r="K77" s="502">
        <v>0</v>
      </c>
      <c r="L77" s="502">
        <v>644.70000000000005</v>
      </c>
      <c r="M77" s="502">
        <v>644.70000000000005</v>
      </c>
      <c r="N77" s="502"/>
      <c r="O77" s="502">
        <v>0</v>
      </c>
      <c r="P77" s="502">
        <f t="shared" si="1"/>
        <v>0</v>
      </c>
    </row>
    <row r="78" spans="1:16" s="504" customFormat="1" ht="14.25" x14ac:dyDescent="0.2">
      <c r="A78" s="500">
        <v>660</v>
      </c>
      <c r="B78" s="500">
        <v>0</v>
      </c>
      <c r="C78" s="500" t="s">
        <v>926</v>
      </c>
      <c r="D78" s="500" t="s">
        <v>927</v>
      </c>
      <c r="E78" s="500" t="s">
        <v>852</v>
      </c>
      <c r="F78" s="500"/>
      <c r="G78" s="500" t="s">
        <v>799</v>
      </c>
      <c r="H78" s="500"/>
      <c r="I78" s="508" t="s">
        <v>190</v>
      </c>
      <c r="J78" s="506" t="s">
        <v>562</v>
      </c>
      <c r="K78" s="502">
        <v>672</v>
      </c>
      <c r="L78" s="502">
        <v>0</v>
      </c>
      <c r="M78" s="502">
        <v>672</v>
      </c>
      <c r="N78" s="502"/>
      <c r="O78" s="502">
        <v>0</v>
      </c>
      <c r="P78" s="502">
        <f t="shared" si="1"/>
        <v>0</v>
      </c>
    </row>
    <row r="79" spans="1:16" s="504" customFormat="1" ht="14.25" x14ac:dyDescent="0.2">
      <c r="A79" s="500">
        <v>240</v>
      </c>
      <c r="B79" s="500">
        <v>0</v>
      </c>
      <c r="C79" s="500" t="s">
        <v>928</v>
      </c>
      <c r="D79" s="500" t="s">
        <v>929</v>
      </c>
      <c r="E79" s="500" t="s">
        <v>799</v>
      </c>
      <c r="F79" s="500"/>
      <c r="G79" s="500" t="s">
        <v>826</v>
      </c>
      <c r="H79" s="500"/>
      <c r="I79" s="508" t="s">
        <v>190</v>
      </c>
      <c r="J79" s="506" t="s">
        <v>562</v>
      </c>
      <c r="K79" s="502">
        <v>200</v>
      </c>
      <c r="L79" s="502">
        <v>300</v>
      </c>
      <c r="M79" s="502">
        <v>169.23</v>
      </c>
      <c r="N79" s="502"/>
      <c r="O79" s="502">
        <v>30.77</v>
      </c>
      <c r="P79" s="502">
        <f t="shared" si="1"/>
        <v>300</v>
      </c>
    </row>
    <row r="80" spans="1:16" s="504" customFormat="1" ht="14.25" x14ac:dyDescent="0.2">
      <c r="A80" s="500">
        <v>222</v>
      </c>
      <c r="B80" s="500">
        <v>0</v>
      </c>
      <c r="C80" s="500" t="s">
        <v>930</v>
      </c>
      <c r="D80" s="500" t="s">
        <v>931</v>
      </c>
      <c r="E80" s="500" t="s">
        <v>799</v>
      </c>
      <c r="F80" s="500"/>
      <c r="G80" s="500" t="s">
        <v>800</v>
      </c>
      <c r="H80" s="500"/>
      <c r="I80" s="508" t="s">
        <v>190</v>
      </c>
      <c r="J80" s="506" t="s">
        <v>562</v>
      </c>
      <c r="K80" s="502">
        <v>0</v>
      </c>
      <c r="L80" s="502">
        <v>1050</v>
      </c>
      <c r="M80" s="502">
        <v>1050</v>
      </c>
      <c r="N80" s="502"/>
      <c r="O80" s="502">
        <v>0</v>
      </c>
      <c r="P80" s="502">
        <f t="shared" si="1"/>
        <v>0</v>
      </c>
    </row>
    <row r="81" spans="1:16" s="504" customFormat="1" ht="14.25" x14ac:dyDescent="0.2">
      <c r="A81" s="500">
        <v>550</v>
      </c>
      <c r="B81" s="500">
        <v>0</v>
      </c>
      <c r="C81" s="500" t="s">
        <v>930</v>
      </c>
      <c r="D81" s="500" t="s">
        <v>932</v>
      </c>
      <c r="E81" s="500" t="s">
        <v>850</v>
      </c>
      <c r="F81" s="500"/>
      <c r="G81" s="500" t="s">
        <v>852</v>
      </c>
      <c r="H81" s="500"/>
      <c r="I81" s="508" t="s">
        <v>190</v>
      </c>
      <c r="J81" s="506" t="s">
        <v>562</v>
      </c>
      <c r="K81" s="502">
        <v>27687.67</v>
      </c>
      <c r="L81" s="502">
        <v>32700</v>
      </c>
      <c r="M81" s="502">
        <v>27687.67</v>
      </c>
      <c r="N81" s="502"/>
      <c r="O81" s="502">
        <v>0</v>
      </c>
      <c r="P81" s="502">
        <f t="shared" si="1"/>
        <v>32700</v>
      </c>
    </row>
    <row r="82" spans="1:16" s="504" customFormat="1" ht="14.25" x14ac:dyDescent="0.2">
      <c r="A82" s="500">
        <v>560</v>
      </c>
      <c r="B82" s="500">
        <v>0</v>
      </c>
      <c r="C82" s="500" t="s">
        <v>930</v>
      </c>
      <c r="D82" s="500" t="s">
        <v>933</v>
      </c>
      <c r="E82" s="500" t="s">
        <v>850</v>
      </c>
      <c r="F82" s="500"/>
      <c r="G82" s="500" t="s">
        <v>800</v>
      </c>
      <c r="H82" s="500"/>
      <c r="I82" s="508" t="s">
        <v>190</v>
      </c>
      <c r="J82" s="506" t="s">
        <v>562</v>
      </c>
      <c r="K82" s="502">
        <v>544.04999999999995</v>
      </c>
      <c r="L82" s="502">
        <v>580</v>
      </c>
      <c r="M82" s="502">
        <v>518.28</v>
      </c>
      <c r="N82" s="502"/>
      <c r="O82" s="502">
        <v>0</v>
      </c>
      <c r="P82" s="502">
        <f t="shared" si="1"/>
        <v>605.77</v>
      </c>
    </row>
    <row r="83" spans="1:16" s="504" customFormat="1" ht="14.25" x14ac:dyDescent="0.2">
      <c r="A83" s="500">
        <v>581</v>
      </c>
      <c r="B83" s="500">
        <v>0</v>
      </c>
      <c r="C83" s="500" t="s">
        <v>930</v>
      </c>
      <c r="D83" s="500" t="s">
        <v>726</v>
      </c>
      <c r="E83" s="500" t="s">
        <v>847</v>
      </c>
      <c r="F83" s="500"/>
      <c r="G83" s="500" t="s">
        <v>829</v>
      </c>
      <c r="H83" s="500"/>
      <c r="I83" s="508" t="s">
        <v>190</v>
      </c>
      <c r="J83" s="506" t="s">
        <v>562</v>
      </c>
      <c r="K83" s="502">
        <v>23041.16</v>
      </c>
      <c r="L83" s="502">
        <v>0</v>
      </c>
      <c r="M83" s="502">
        <v>0</v>
      </c>
      <c r="N83" s="502"/>
      <c r="O83" s="502">
        <v>7673.12</v>
      </c>
      <c r="P83" s="502">
        <f t="shared" si="1"/>
        <v>15368.04</v>
      </c>
    </row>
    <row r="84" spans="1:16" s="504" customFormat="1" ht="14.25" x14ac:dyDescent="0.2">
      <c r="A84" s="500">
        <v>615</v>
      </c>
      <c r="B84" s="500">
        <v>0</v>
      </c>
      <c r="C84" s="500" t="s">
        <v>930</v>
      </c>
      <c r="D84" s="500" t="s">
        <v>934</v>
      </c>
      <c r="E84" s="500" t="s">
        <v>829</v>
      </c>
      <c r="F84" s="500"/>
      <c r="G84" s="500" t="s">
        <v>800</v>
      </c>
      <c r="H84" s="500"/>
      <c r="I84" s="508" t="s">
        <v>190</v>
      </c>
      <c r="J84" s="506" t="s">
        <v>562</v>
      </c>
      <c r="K84" s="502">
        <v>0</v>
      </c>
      <c r="L84" s="502">
        <v>632</v>
      </c>
      <c r="M84" s="502">
        <v>632</v>
      </c>
      <c r="N84" s="502"/>
      <c r="O84" s="502">
        <v>0</v>
      </c>
      <c r="P84" s="502">
        <f t="shared" si="1"/>
        <v>0</v>
      </c>
    </row>
    <row r="85" spans="1:16" s="504" customFormat="1" ht="14.25" x14ac:dyDescent="0.2">
      <c r="A85" s="500">
        <v>734</v>
      </c>
      <c r="B85" s="500">
        <v>0</v>
      </c>
      <c r="C85" s="500" t="s">
        <v>930</v>
      </c>
      <c r="D85" s="500" t="s">
        <v>935</v>
      </c>
      <c r="E85" s="500" t="s">
        <v>826</v>
      </c>
      <c r="F85" s="500"/>
      <c r="G85" s="500" t="s">
        <v>799</v>
      </c>
      <c r="H85" s="500"/>
      <c r="I85" s="508" t="s">
        <v>190</v>
      </c>
      <c r="J85" s="506" t="s">
        <v>562</v>
      </c>
      <c r="K85" s="502">
        <v>0</v>
      </c>
      <c r="L85" s="502">
        <v>129.81</v>
      </c>
      <c r="M85" s="502">
        <v>129.81</v>
      </c>
      <c r="N85" s="502"/>
      <c r="O85" s="502">
        <v>0</v>
      </c>
      <c r="P85" s="502">
        <f t="shared" si="1"/>
        <v>0</v>
      </c>
    </row>
    <row r="86" spans="1:16" s="504" customFormat="1" ht="14.25" x14ac:dyDescent="0.2">
      <c r="A86" s="500">
        <v>830</v>
      </c>
      <c r="B86" s="500">
        <v>0</v>
      </c>
      <c r="C86" s="500" t="s">
        <v>930</v>
      </c>
      <c r="D86" s="500" t="s">
        <v>936</v>
      </c>
      <c r="E86" s="500" t="s">
        <v>805</v>
      </c>
      <c r="F86" s="500"/>
      <c r="G86" s="500" t="s">
        <v>806</v>
      </c>
      <c r="H86" s="500"/>
      <c r="I86" s="508" t="s">
        <v>190</v>
      </c>
      <c r="J86" s="506" t="s">
        <v>562</v>
      </c>
      <c r="K86" s="502">
        <v>8375.08</v>
      </c>
      <c r="L86" s="502">
        <v>26467.19</v>
      </c>
      <c r="M86" s="502">
        <v>8375.08</v>
      </c>
      <c r="N86" s="502"/>
      <c r="O86" s="502">
        <v>0</v>
      </c>
      <c r="P86" s="502">
        <f t="shared" si="1"/>
        <v>26467.189999999995</v>
      </c>
    </row>
    <row r="87" spans="1:16" s="504" customFormat="1" ht="14.25" x14ac:dyDescent="0.2">
      <c r="A87" s="500">
        <v>900</v>
      </c>
      <c r="B87" s="500">
        <v>0</v>
      </c>
      <c r="C87" s="500" t="s">
        <v>930</v>
      </c>
      <c r="D87" s="500" t="s">
        <v>937</v>
      </c>
      <c r="E87" s="500" t="s">
        <v>847</v>
      </c>
      <c r="F87" s="500"/>
      <c r="G87" s="500" t="s">
        <v>806</v>
      </c>
      <c r="H87" s="500"/>
      <c r="I87" s="508" t="s">
        <v>190</v>
      </c>
      <c r="J87" s="506" t="s">
        <v>562</v>
      </c>
      <c r="K87" s="502">
        <v>3034.1</v>
      </c>
      <c r="L87" s="502">
        <v>8000</v>
      </c>
      <c r="M87" s="502">
        <v>8569.65</v>
      </c>
      <c r="N87" s="502"/>
      <c r="O87" s="502">
        <v>0</v>
      </c>
      <c r="P87" s="502">
        <f t="shared" si="1"/>
        <v>2464.4500000000007</v>
      </c>
    </row>
    <row r="88" spans="1:16" s="504" customFormat="1" ht="14.25" x14ac:dyDescent="0.2">
      <c r="A88" s="500">
        <v>913</v>
      </c>
      <c r="B88" s="500">
        <v>0</v>
      </c>
      <c r="C88" s="500" t="s">
        <v>930</v>
      </c>
      <c r="D88" s="500" t="s">
        <v>938</v>
      </c>
      <c r="E88" s="500" t="s">
        <v>847</v>
      </c>
      <c r="F88" s="500"/>
      <c r="G88" s="500" t="s">
        <v>800</v>
      </c>
      <c r="H88" s="500"/>
      <c r="I88" s="508" t="s">
        <v>190</v>
      </c>
      <c r="J88" s="506" t="s">
        <v>562</v>
      </c>
      <c r="K88" s="502">
        <v>2367.09</v>
      </c>
      <c r="L88" s="502">
        <v>7400</v>
      </c>
      <c r="M88" s="502">
        <v>7367.09</v>
      </c>
      <c r="N88" s="502"/>
      <c r="O88" s="502">
        <v>0</v>
      </c>
      <c r="P88" s="502">
        <f t="shared" si="1"/>
        <v>2400</v>
      </c>
    </row>
    <row r="89" spans="1:16" s="504" customFormat="1" ht="14.25" x14ac:dyDescent="0.2">
      <c r="A89" s="500">
        <v>915</v>
      </c>
      <c r="B89" s="500">
        <v>0</v>
      </c>
      <c r="C89" s="500" t="s">
        <v>930</v>
      </c>
      <c r="D89" s="500" t="s">
        <v>939</v>
      </c>
      <c r="E89" s="500" t="s">
        <v>850</v>
      </c>
      <c r="F89" s="500"/>
      <c r="G89" s="500" t="s">
        <v>800</v>
      </c>
      <c r="H89" s="500"/>
      <c r="I89" s="508" t="s">
        <v>190</v>
      </c>
      <c r="J89" s="506" t="s">
        <v>562</v>
      </c>
      <c r="K89" s="502">
        <v>16046.71</v>
      </c>
      <c r="L89" s="502">
        <v>15000</v>
      </c>
      <c r="M89" s="502">
        <v>31046.71</v>
      </c>
      <c r="N89" s="502"/>
      <c r="O89" s="502">
        <v>0</v>
      </c>
      <c r="P89" s="502">
        <f t="shared" si="1"/>
        <v>0</v>
      </c>
    </row>
    <row r="90" spans="1:16" s="504" customFormat="1" ht="14.25" x14ac:dyDescent="0.2">
      <c r="A90" s="500">
        <v>924</v>
      </c>
      <c r="B90" s="500">
        <v>0</v>
      </c>
      <c r="C90" s="500" t="s">
        <v>930</v>
      </c>
      <c r="D90" s="500" t="s">
        <v>940</v>
      </c>
      <c r="E90" s="500" t="s">
        <v>847</v>
      </c>
      <c r="F90" s="500"/>
      <c r="G90" s="500" t="s">
        <v>800</v>
      </c>
      <c r="H90" s="500"/>
      <c r="I90" s="508" t="s">
        <v>190</v>
      </c>
      <c r="J90" s="506" t="s">
        <v>562</v>
      </c>
      <c r="K90" s="502">
        <v>0</v>
      </c>
      <c r="L90" s="502">
        <v>3398.4</v>
      </c>
      <c r="M90" s="502">
        <v>3115.2</v>
      </c>
      <c r="N90" s="502"/>
      <c r="O90" s="502">
        <v>0</v>
      </c>
      <c r="P90" s="502">
        <f t="shared" si="1"/>
        <v>283.20000000000027</v>
      </c>
    </row>
    <row r="91" spans="1:16" s="504" customFormat="1" ht="14.25" x14ac:dyDescent="0.2">
      <c r="A91" s="500">
        <v>925</v>
      </c>
      <c r="B91" s="500">
        <v>0</v>
      </c>
      <c r="C91" s="500" t="s">
        <v>930</v>
      </c>
      <c r="D91" s="500" t="s">
        <v>941</v>
      </c>
      <c r="E91" s="500" t="s">
        <v>847</v>
      </c>
      <c r="F91" s="500"/>
      <c r="G91" s="500" t="s">
        <v>800</v>
      </c>
      <c r="H91" s="500"/>
      <c r="I91" s="508" t="s">
        <v>190</v>
      </c>
      <c r="J91" s="506" t="s">
        <v>562</v>
      </c>
      <c r="K91" s="502">
        <v>11105</v>
      </c>
      <c r="L91" s="502">
        <v>18500</v>
      </c>
      <c r="M91" s="502">
        <v>21100.26</v>
      </c>
      <c r="N91" s="502"/>
      <c r="O91" s="502">
        <v>0</v>
      </c>
      <c r="P91" s="502">
        <f t="shared" si="1"/>
        <v>8504.7400000000016</v>
      </c>
    </row>
    <row r="92" spans="1:16" s="504" customFormat="1" ht="14.25" x14ac:dyDescent="0.2">
      <c r="A92" s="500">
        <v>939</v>
      </c>
      <c r="B92" s="500">
        <v>0</v>
      </c>
      <c r="C92" s="500" t="s">
        <v>930</v>
      </c>
      <c r="D92" s="500" t="s">
        <v>942</v>
      </c>
      <c r="E92" s="500" t="s">
        <v>847</v>
      </c>
      <c r="F92" s="500"/>
      <c r="G92" s="500" t="s">
        <v>800</v>
      </c>
      <c r="H92" s="500"/>
      <c r="I92" s="508" t="s">
        <v>190</v>
      </c>
      <c r="J92" s="506" t="s">
        <v>562</v>
      </c>
      <c r="K92" s="502">
        <v>0</v>
      </c>
      <c r="L92" s="502">
        <v>2500</v>
      </c>
      <c r="M92" s="502">
        <v>2500</v>
      </c>
      <c r="N92" s="502"/>
      <c r="O92" s="502">
        <v>0</v>
      </c>
      <c r="P92" s="502">
        <f t="shared" si="1"/>
        <v>0</v>
      </c>
    </row>
    <row r="93" spans="1:16" s="504" customFormat="1" ht="14.25" x14ac:dyDescent="0.2">
      <c r="A93" s="500">
        <v>951</v>
      </c>
      <c r="B93" s="500">
        <v>0</v>
      </c>
      <c r="C93" s="500" t="s">
        <v>930</v>
      </c>
      <c r="D93" s="500" t="s">
        <v>943</v>
      </c>
      <c r="E93" s="500" t="s">
        <v>944</v>
      </c>
      <c r="F93" s="500"/>
      <c r="G93" s="500" t="s">
        <v>800</v>
      </c>
      <c r="H93" s="500"/>
      <c r="I93" s="508" t="s">
        <v>190</v>
      </c>
      <c r="J93" s="506" t="s">
        <v>562</v>
      </c>
      <c r="K93" s="502">
        <v>1017</v>
      </c>
      <c r="L93" s="502">
        <v>3132.39</v>
      </c>
      <c r="M93" s="502">
        <v>3100.44</v>
      </c>
      <c r="N93" s="502"/>
      <c r="O93" s="502">
        <v>0.76</v>
      </c>
      <c r="P93" s="502">
        <f t="shared" si="1"/>
        <v>1048.1899999999994</v>
      </c>
    </row>
    <row r="94" spans="1:16" s="504" customFormat="1" ht="14.25" x14ac:dyDescent="0.2">
      <c r="A94" s="500">
        <v>929</v>
      </c>
      <c r="B94" s="500">
        <v>0</v>
      </c>
      <c r="C94" s="500" t="s">
        <v>945</v>
      </c>
      <c r="D94" s="500" t="s">
        <v>946</v>
      </c>
      <c r="E94" s="500" t="s">
        <v>847</v>
      </c>
      <c r="F94" s="500"/>
      <c r="G94" s="500" t="s">
        <v>829</v>
      </c>
      <c r="H94" s="500"/>
      <c r="I94" s="508" t="s">
        <v>193</v>
      </c>
      <c r="J94" s="506" t="s">
        <v>562</v>
      </c>
      <c r="K94" s="502">
        <v>228.68</v>
      </c>
      <c r="L94" s="502">
        <v>0</v>
      </c>
      <c r="M94" s="502">
        <v>0</v>
      </c>
      <c r="N94" s="502"/>
      <c r="O94" s="502">
        <v>0</v>
      </c>
      <c r="P94" s="502">
        <f t="shared" si="1"/>
        <v>228.68</v>
      </c>
    </row>
    <row r="95" spans="1:16" s="504" customFormat="1" ht="14.25" x14ac:dyDescent="0.2">
      <c r="A95" s="500">
        <v>936</v>
      </c>
      <c r="B95" s="500">
        <v>0</v>
      </c>
      <c r="C95" s="500" t="s">
        <v>945</v>
      </c>
      <c r="D95" s="500" t="s">
        <v>947</v>
      </c>
      <c r="E95" s="500" t="s">
        <v>847</v>
      </c>
      <c r="F95" s="500"/>
      <c r="G95" s="500" t="s">
        <v>829</v>
      </c>
      <c r="H95" s="500"/>
      <c r="I95" s="508" t="s">
        <v>193</v>
      </c>
      <c r="J95" s="506" t="s">
        <v>562</v>
      </c>
      <c r="K95" s="502">
        <v>1000</v>
      </c>
      <c r="L95" s="502">
        <v>750</v>
      </c>
      <c r="M95" s="502">
        <v>1000</v>
      </c>
      <c r="N95" s="502"/>
      <c r="O95" s="502">
        <v>0</v>
      </c>
      <c r="P95" s="502">
        <f t="shared" si="1"/>
        <v>750</v>
      </c>
    </row>
    <row r="96" spans="1:16" s="504" customFormat="1" ht="14.25" x14ac:dyDescent="0.2">
      <c r="A96" s="500">
        <v>230</v>
      </c>
      <c r="B96" s="500">
        <v>5</v>
      </c>
      <c r="C96" s="500" t="s">
        <v>948</v>
      </c>
      <c r="D96" s="500" t="s">
        <v>949</v>
      </c>
      <c r="E96" s="500" t="s">
        <v>799</v>
      </c>
      <c r="F96" s="500"/>
      <c r="G96" s="500" t="s">
        <v>829</v>
      </c>
      <c r="H96" s="500"/>
      <c r="I96" s="508" t="s">
        <v>193</v>
      </c>
      <c r="J96" s="506" t="s">
        <v>562</v>
      </c>
      <c r="K96" s="502">
        <v>0</v>
      </c>
      <c r="L96" s="502">
        <v>1200</v>
      </c>
      <c r="M96" s="502">
        <v>1200</v>
      </c>
      <c r="N96" s="502"/>
      <c r="O96" s="502">
        <v>0</v>
      </c>
      <c r="P96" s="502">
        <f t="shared" si="1"/>
        <v>0</v>
      </c>
    </row>
    <row r="97" spans="1:16" s="504" customFormat="1" ht="14.25" x14ac:dyDescent="0.2">
      <c r="A97" s="500">
        <v>571</v>
      </c>
      <c r="B97" s="500">
        <v>0</v>
      </c>
      <c r="C97" s="500" t="s">
        <v>948</v>
      </c>
      <c r="D97" s="500" t="s">
        <v>950</v>
      </c>
      <c r="E97" s="500" t="s">
        <v>850</v>
      </c>
      <c r="F97" s="500"/>
      <c r="G97" s="500" t="s">
        <v>852</v>
      </c>
      <c r="H97" s="500"/>
      <c r="I97" s="508" t="s">
        <v>193</v>
      </c>
      <c r="J97" s="506" t="s">
        <v>562</v>
      </c>
      <c r="K97" s="502">
        <v>1650</v>
      </c>
      <c r="L97" s="502">
        <v>1000</v>
      </c>
      <c r="M97" s="502">
        <v>850</v>
      </c>
      <c r="N97" s="502"/>
      <c r="O97" s="502">
        <v>0</v>
      </c>
      <c r="P97" s="502">
        <f t="shared" si="1"/>
        <v>1800</v>
      </c>
    </row>
    <row r="98" spans="1:16" s="504" customFormat="1" ht="14.25" x14ac:dyDescent="0.2">
      <c r="A98" s="500">
        <v>923</v>
      </c>
      <c r="B98" s="500">
        <v>0</v>
      </c>
      <c r="C98" s="500" t="s">
        <v>948</v>
      </c>
      <c r="D98" s="500" t="s">
        <v>951</v>
      </c>
      <c r="E98" s="500" t="s">
        <v>847</v>
      </c>
      <c r="F98" s="500"/>
      <c r="G98" s="500" t="s">
        <v>829</v>
      </c>
      <c r="H98" s="500"/>
      <c r="I98" s="508" t="s">
        <v>193</v>
      </c>
      <c r="J98" s="506" t="s">
        <v>562</v>
      </c>
      <c r="K98" s="502">
        <v>2000</v>
      </c>
      <c r="L98" s="502">
        <v>1000</v>
      </c>
      <c r="M98" s="502">
        <v>2000</v>
      </c>
      <c r="N98" s="502"/>
      <c r="O98" s="502">
        <v>0</v>
      </c>
      <c r="P98" s="502">
        <f t="shared" si="1"/>
        <v>1000</v>
      </c>
    </row>
    <row r="99" spans="1:16" s="504" customFormat="1" ht="14.25" x14ac:dyDescent="0.2">
      <c r="A99" s="500">
        <v>485</v>
      </c>
      <c r="B99" s="500">
        <v>0</v>
      </c>
      <c r="C99" s="500" t="s">
        <v>952</v>
      </c>
      <c r="D99" s="500" t="s">
        <v>953</v>
      </c>
      <c r="E99" s="500" t="s">
        <v>850</v>
      </c>
      <c r="F99" s="500"/>
      <c r="G99" s="500" t="s">
        <v>799</v>
      </c>
      <c r="H99" s="500"/>
      <c r="I99" s="508" t="s">
        <v>193</v>
      </c>
      <c r="J99" s="506" t="s">
        <v>562</v>
      </c>
      <c r="K99" s="502">
        <v>1960</v>
      </c>
      <c r="L99" s="502">
        <v>3000</v>
      </c>
      <c r="M99" s="502">
        <v>4960</v>
      </c>
      <c r="N99" s="502"/>
      <c r="O99" s="502">
        <v>0</v>
      </c>
      <c r="P99" s="502">
        <f t="shared" si="1"/>
        <v>0</v>
      </c>
    </row>
    <row r="100" spans="1:16" s="504" customFormat="1" ht="14.25" x14ac:dyDescent="0.2">
      <c r="A100" s="500">
        <v>620</v>
      </c>
      <c r="B100" s="500">
        <v>0</v>
      </c>
      <c r="C100" s="500" t="s">
        <v>952</v>
      </c>
      <c r="D100" s="500" t="s">
        <v>954</v>
      </c>
      <c r="E100" s="500" t="s">
        <v>829</v>
      </c>
      <c r="F100" s="500"/>
      <c r="G100" s="500" t="s">
        <v>800</v>
      </c>
      <c r="H100" s="500"/>
      <c r="I100" s="508" t="s">
        <v>193</v>
      </c>
      <c r="J100" s="506" t="s">
        <v>562</v>
      </c>
      <c r="K100" s="502">
        <v>4783.33</v>
      </c>
      <c r="L100" s="502">
        <v>8977.34</v>
      </c>
      <c r="M100" s="502">
        <v>13683.63</v>
      </c>
      <c r="N100" s="502"/>
      <c r="O100" s="502">
        <v>0</v>
      </c>
      <c r="P100" s="502">
        <f t="shared" si="1"/>
        <v>77.040000000000873</v>
      </c>
    </row>
    <row r="101" spans="1:16" s="504" customFormat="1" ht="14.25" x14ac:dyDescent="0.2">
      <c r="A101" s="500">
        <v>695</v>
      </c>
      <c r="B101" s="500">
        <v>0</v>
      </c>
      <c r="C101" s="500" t="s">
        <v>952</v>
      </c>
      <c r="D101" s="500" t="s">
        <v>955</v>
      </c>
      <c r="E101" s="500" t="s">
        <v>843</v>
      </c>
      <c r="F101" s="500"/>
      <c r="G101" s="500" t="s">
        <v>799</v>
      </c>
      <c r="H101" s="500"/>
      <c r="I101" s="508" t="s">
        <v>193</v>
      </c>
      <c r="J101" s="506" t="s">
        <v>562</v>
      </c>
      <c r="K101" s="502">
        <v>1000</v>
      </c>
      <c r="L101" s="502">
        <v>1000</v>
      </c>
      <c r="M101" s="502">
        <v>2000</v>
      </c>
      <c r="N101" s="502"/>
      <c r="O101" s="502">
        <v>0</v>
      </c>
      <c r="P101" s="502">
        <f t="shared" si="1"/>
        <v>0</v>
      </c>
    </row>
    <row r="102" spans="1:16" s="504" customFormat="1" ht="14.25" x14ac:dyDescent="0.2">
      <c r="A102" s="500">
        <v>290</v>
      </c>
      <c r="B102" s="500">
        <v>0</v>
      </c>
      <c r="C102" s="500" t="s">
        <v>956</v>
      </c>
      <c r="D102" s="500" t="s">
        <v>957</v>
      </c>
      <c r="E102" s="500" t="s">
        <v>799</v>
      </c>
      <c r="F102" s="500"/>
      <c r="G102" s="500" t="s">
        <v>829</v>
      </c>
      <c r="H102" s="500"/>
      <c r="I102" s="508" t="s">
        <v>177</v>
      </c>
      <c r="J102" s="506" t="s">
        <v>564</v>
      </c>
      <c r="K102" s="502">
        <v>0</v>
      </c>
      <c r="L102" s="502">
        <v>21510</v>
      </c>
      <c r="M102" s="502">
        <v>21510</v>
      </c>
      <c r="N102" s="502"/>
      <c r="O102" s="502">
        <v>0</v>
      </c>
      <c r="P102" s="502">
        <f t="shared" si="1"/>
        <v>0</v>
      </c>
    </row>
    <row r="103" spans="1:16" s="504" customFormat="1" ht="14.25" x14ac:dyDescent="0.2">
      <c r="A103" s="500">
        <v>360</v>
      </c>
      <c r="B103" s="500">
        <v>0</v>
      </c>
      <c r="C103" s="500" t="s">
        <v>958</v>
      </c>
      <c r="D103" s="500" t="s">
        <v>959</v>
      </c>
      <c r="E103" s="500" t="s">
        <v>799</v>
      </c>
      <c r="F103" s="500"/>
      <c r="G103" s="500" t="s">
        <v>850</v>
      </c>
      <c r="H103" s="500"/>
      <c r="I103" s="508" t="s">
        <v>197</v>
      </c>
      <c r="J103" s="506" t="s">
        <v>546</v>
      </c>
      <c r="K103" s="502">
        <v>882</v>
      </c>
      <c r="L103" s="502">
        <v>4000</v>
      </c>
      <c r="M103" s="502">
        <v>4412.74</v>
      </c>
      <c r="N103" s="502"/>
      <c r="O103" s="502">
        <v>0</v>
      </c>
      <c r="P103" s="502">
        <f t="shared" si="1"/>
        <v>469.26000000000022</v>
      </c>
    </row>
    <row r="104" spans="1:16" s="504" customFormat="1" ht="14.25" x14ac:dyDescent="0.2">
      <c r="A104" s="500">
        <v>90</v>
      </c>
      <c r="B104" s="500">
        <v>0</v>
      </c>
      <c r="C104" s="500" t="s">
        <v>960</v>
      </c>
      <c r="D104" s="500" t="s">
        <v>961</v>
      </c>
      <c r="E104" s="500" t="s">
        <v>799</v>
      </c>
      <c r="F104" s="500"/>
      <c r="G104" s="500" t="s">
        <v>826</v>
      </c>
      <c r="H104" s="500"/>
      <c r="I104" s="508" t="s">
        <v>187</v>
      </c>
      <c r="J104" s="506" t="s">
        <v>546</v>
      </c>
      <c r="K104" s="502">
        <v>1669.76</v>
      </c>
      <c r="L104" s="502">
        <v>3132.39</v>
      </c>
      <c r="M104" s="502">
        <v>4424.07</v>
      </c>
      <c r="N104" s="502"/>
      <c r="O104" s="502">
        <v>378.08</v>
      </c>
      <c r="P104" s="502">
        <f t="shared" si="1"/>
        <v>0</v>
      </c>
    </row>
    <row r="105" spans="1:16" s="504" customFormat="1" ht="14.25" x14ac:dyDescent="0.2">
      <c r="A105" s="500">
        <v>212</v>
      </c>
      <c r="B105" s="500">
        <v>0</v>
      </c>
      <c r="C105" s="500" t="s">
        <v>962</v>
      </c>
      <c r="D105" s="500" t="s">
        <v>963</v>
      </c>
      <c r="E105" s="500" t="s">
        <v>799</v>
      </c>
      <c r="F105" s="500"/>
      <c r="G105" s="500" t="s">
        <v>800</v>
      </c>
      <c r="H105" s="500"/>
      <c r="I105" s="508" t="s">
        <v>197</v>
      </c>
      <c r="J105" s="506" t="s">
        <v>546</v>
      </c>
      <c r="K105" s="502">
        <v>750</v>
      </c>
      <c r="L105" s="502">
        <v>0</v>
      </c>
      <c r="M105" s="502">
        <v>750</v>
      </c>
      <c r="N105" s="502"/>
      <c r="O105" s="502">
        <v>0</v>
      </c>
      <c r="P105" s="502">
        <f t="shared" si="1"/>
        <v>0</v>
      </c>
    </row>
    <row r="106" spans="1:16" s="504" customFormat="1" ht="14.25" x14ac:dyDescent="0.2">
      <c r="A106" s="500">
        <v>455</v>
      </c>
      <c r="B106" s="500">
        <v>0</v>
      </c>
      <c r="C106" s="500" t="s">
        <v>962</v>
      </c>
      <c r="D106" s="500" t="s">
        <v>964</v>
      </c>
      <c r="E106" s="500" t="s">
        <v>799</v>
      </c>
      <c r="F106" s="500"/>
      <c r="G106" s="500" t="s">
        <v>806</v>
      </c>
      <c r="H106" s="500"/>
      <c r="I106" s="508" t="s">
        <v>197</v>
      </c>
      <c r="J106" s="506" t="s">
        <v>546</v>
      </c>
      <c r="K106" s="502">
        <v>586.08000000000004</v>
      </c>
      <c r="L106" s="502">
        <v>193</v>
      </c>
      <c r="M106" s="502">
        <v>0</v>
      </c>
      <c r="N106" s="502"/>
      <c r="O106" s="502">
        <v>586.08000000000004</v>
      </c>
      <c r="P106" s="502">
        <f t="shared" si="1"/>
        <v>193</v>
      </c>
    </row>
    <row r="107" spans="1:16" s="504" customFormat="1" ht="14.25" x14ac:dyDescent="0.2">
      <c r="A107" s="500">
        <v>1072</v>
      </c>
      <c r="B107" s="500">
        <v>0</v>
      </c>
      <c r="C107" s="500" t="s">
        <v>965</v>
      </c>
      <c r="D107" s="500" t="s">
        <v>966</v>
      </c>
      <c r="E107" s="500" t="s">
        <v>843</v>
      </c>
      <c r="F107" s="500"/>
      <c r="G107" s="500" t="s">
        <v>799</v>
      </c>
      <c r="H107" s="500"/>
      <c r="I107" s="508" t="s">
        <v>187</v>
      </c>
      <c r="J107" s="507" t="s">
        <v>785</v>
      </c>
      <c r="K107" s="502">
        <v>133988.42000000001</v>
      </c>
      <c r="L107" s="502">
        <v>0</v>
      </c>
      <c r="M107" s="502">
        <v>66082.64</v>
      </c>
      <c r="N107" s="502"/>
      <c r="O107" s="502">
        <v>0</v>
      </c>
      <c r="P107" s="502">
        <f t="shared" si="1"/>
        <v>67905.780000000013</v>
      </c>
    </row>
    <row r="108" spans="1:16" s="504" customFormat="1" ht="14.25" x14ac:dyDescent="0.2">
      <c r="A108" s="500">
        <v>1088</v>
      </c>
      <c r="B108" s="500">
        <v>0</v>
      </c>
      <c r="C108" s="500" t="s">
        <v>965</v>
      </c>
      <c r="D108" s="500" t="s">
        <v>967</v>
      </c>
      <c r="E108" s="500" t="s">
        <v>799</v>
      </c>
      <c r="F108" s="500"/>
      <c r="G108" s="500" t="s">
        <v>800</v>
      </c>
      <c r="H108" s="500"/>
      <c r="I108" s="508" t="s">
        <v>187</v>
      </c>
      <c r="J108" s="507" t="s">
        <v>785</v>
      </c>
      <c r="K108" s="502">
        <v>4999.5600000000004</v>
      </c>
      <c r="L108" s="502">
        <v>0</v>
      </c>
      <c r="M108" s="502">
        <v>0</v>
      </c>
      <c r="N108" s="502"/>
      <c r="O108" s="502">
        <v>0</v>
      </c>
      <c r="P108" s="502">
        <f t="shared" si="1"/>
        <v>4999.5600000000004</v>
      </c>
    </row>
    <row r="109" spans="1:16" s="504" customFormat="1" ht="14.25" x14ac:dyDescent="0.2">
      <c r="A109" s="500">
        <v>1094</v>
      </c>
      <c r="B109" s="500">
        <v>0</v>
      </c>
      <c r="C109" s="500" t="s">
        <v>965</v>
      </c>
      <c r="D109" s="500" t="s">
        <v>968</v>
      </c>
      <c r="E109" s="500" t="s">
        <v>836</v>
      </c>
      <c r="F109" s="500"/>
      <c r="G109" s="500" t="s">
        <v>829</v>
      </c>
      <c r="H109" s="500"/>
      <c r="I109" s="508" t="s">
        <v>187</v>
      </c>
      <c r="J109" s="507" t="s">
        <v>785</v>
      </c>
      <c r="K109" s="502">
        <v>5384.4</v>
      </c>
      <c r="L109" s="502">
        <v>0</v>
      </c>
      <c r="M109" s="502">
        <v>0</v>
      </c>
      <c r="N109" s="502"/>
      <c r="O109" s="502">
        <v>0</v>
      </c>
      <c r="P109" s="502">
        <f t="shared" si="1"/>
        <v>5384.4</v>
      </c>
    </row>
    <row r="110" spans="1:16" s="504" customFormat="1" ht="14.25" x14ac:dyDescent="0.2">
      <c r="A110" s="500">
        <v>1108</v>
      </c>
      <c r="B110" s="500">
        <v>0</v>
      </c>
      <c r="C110" s="500" t="s">
        <v>965</v>
      </c>
      <c r="D110" s="500" t="s">
        <v>969</v>
      </c>
      <c r="E110" s="500" t="s">
        <v>843</v>
      </c>
      <c r="F110" s="500"/>
      <c r="G110" s="500" t="s">
        <v>799</v>
      </c>
      <c r="H110" s="500"/>
      <c r="I110" s="508" t="s">
        <v>187</v>
      </c>
      <c r="J110" s="507" t="s">
        <v>785</v>
      </c>
      <c r="K110" s="502">
        <v>0</v>
      </c>
      <c r="L110" s="502">
        <v>21960</v>
      </c>
      <c r="M110" s="502">
        <v>21960</v>
      </c>
      <c r="N110" s="502"/>
      <c r="O110" s="502">
        <v>0</v>
      </c>
      <c r="P110" s="502">
        <f t="shared" si="1"/>
        <v>0</v>
      </c>
    </row>
    <row r="111" spans="1:16" s="504" customFormat="1" ht="14.25" x14ac:dyDescent="0.2">
      <c r="A111" s="500">
        <v>1116</v>
      </c>
      <c r="B111" s="500">
        <v>0</v>
      </c>
      <c r="C111" s="500" t="s">
        <v>965</v>
      </c>
      <c r="D111" s="500" t="s">
        <v>970</v>
      </c>
      <c r="E111" s="500" t="s">
        <v>843</v>
      </c>
      <c r="F111" s="500"/>
      <c r="G111" s="500" t="s">
        <v>799</v>
      </c>
      <c r="H111" s="500"/>
      <c r="I111" s="508" t="s">
        <v>187</v>
      </c>
      <c r="J111" s="507" t="s">
        <v>785</v>
      </c>
      <c r="K111" s="502">
        <v>243041</v>
      </c>
      <c r="L111" s="502">
        <v>0</v>
      </c>
      <c r="M111" s="502">
        <v>165059.63</v>
      </c>
      <c r="N111" s="502"/>
      <c r="O111" s="502">
        <v>0</v>
      </c>
      <c r="P111" s="502">
        <f t="shared" si="1"/>
        <v>77981.37</v>
      </c>
    </row>
    <row r="112" spans="1:16" s="504" customFormat="1" ht="14.25" x14ac:dyDescent="0.2">
      <c r="A112" s="500">
        <v>1140</v>
      </c>
      <c r="B112" s="500">
        <v>0</v>
      </c>
      <c r="C112" s="500" t="s">
        <v>965</v>
      </c>
      <c r="D112" s="500" t="s">
        <v>971</v>
      </c>
      <c r="E112" s="500" t="s">
        <v>843</v>
      </c>
      <c r="F112" s="500"/>
      <c r="G112" s="500" t="s">
        <v>799</v>
      </c>
      <c r="H112" s="500"/>
      <c r="I112" s="508" t="s">
        <v>187</v>
      </c>
      <c r="J112" s="507" t="s">
        <v>785</v>
      </c>
      <c r="K112" s="502">
        <v>0</v>
      </c>
      <c r="L112" s="502">
        <v>12034.68</v>
      </c>
      <c r="M112" s="502">
        <v>9200.5400000000009</v>
      </c>
      <c r="N112" s="502"/>
      <c r="O112" s="502">
        <v>0</v>
      </c>
      <c r="P112" s="502">
        <f t="shared" si="1"/>
        <v>2834.1399999999994</v>
      </c>
    </row>
    <row r="113" spans="1:16" s="504" customFormat="1" ht="14.25" x14ac:dyDescent="0.2">
      <c r="A113" s="500">
        <v>1143</v>
      </c>
      <c r="B113" s="500">
        <v>0</v>
      </c>
      <c r="C113" s="500" t="s">
        <v>965</v>
      </c>
      <c r="D113" s="500" t="s">
        <v>972</v>
      </c>
      <c r="E113" s="500" t="s">
        <v>836</v>
      </c>
      <c r="F113" s="500"/>
      <c r="G113" s="500" t="s">
        <v>829</v>
      </c>
      <c r="H113" s="500"/>
      <c r="I113" s="508" t="s">
        <v>187</v>
      </c>
      <c r="J113" s="507" t="s">
        <v>785</v>
      </c>
      <c r="K113" s="502">
        <v>3937</v>
      </c>
      <c r="L113" s="502">
        <v>100000</v>
      </c>
      <c r="M113" s="502">
        <v>4440.8</v>
      </c>
      <c r="N113" s="502"/>
      <c r="O113" s="502">
        <v>0</v>
      </c>
      <c r="P113" s="502">
        <f t="shared" si="1"/>
        <v>99496.2</v>
      </c>
    </row>
    <row r="114" spans="1:16" s="504" customFormat="1" ht="14.25" x14ac:dyDescent="0.2">
      <c r="A114" s="500">
        <v>1004</v>
      </c>
      <c r="B114" s="500">
        <v>0</v>
      </c>
      <c r="C114" s="500" t="s">
        <v>973</v>
      </c>
      <c r="D114" s="500" t="s">
        <v>974</v>
      </c>
      <c r="E114" s="500" t="s">
        <v>843</v>
      </c>
      <c r="F114" s="500"/>
      <c r="G114" s="500" t="s">
        <v>799</v>
      </c>
      <c r="H114" s="500"/>
      <c r="I114" s="508" t="s">
        <v>187</v>
      </c>
      <c r="J114" s="507" t="s">
        <v>785</v>
      </c>
      <c r="K114" s="502">
        <v>224484.65</v>
      </c>
      <c r="L114" s="502">
        <v>0</v>
      </c>
      <c r="M114" s="502">
        <v>0</v>
      </c>
      <c r="N114" s="502"/>
      <c r="O114" s="502">
        <v>0</v>
      </c>
      <c r="P114" s="502">
        <f t="shared" si="1"/>
        <v>224484.65</v>
      </c>
    </row>
    <row r="115" spans="1:16" s="504" customFormat="1" ht="14.25" x14ac:dyDescent="0.2">
      <c r="A115" s="500">
        <v>1117</v>
      </c>
      <c r="B115" s="500">
        <v>0</v>
      </c>
      <c r="C115" s="500" t="s">
        <v>975</v>
      </c>
      <c r="D115" s="500" t="s">
        <v>976</v>
      </c>
      <c r="E115" s="500" t="s">
        <v>977</v>
      </c>
      <c r="F115" s="500"/>
      <c r="G115" s="500" t="s">
        <v>799</v>
      </c>
      <c r="H115" s="500"/>
      <c r="I115" s="508" t="s">
        <v>187</v>
      </c>
      <c r="J115" s="507" t="s">
        <v>785</v>
      </c>
      <c r="K115" s="502">
        <v>14030</v>
      </c>
      <c r="L115" s="502">
        <v>0</v>
      </c>
      <c r="M115" s="502">
        <v>14030</v>
      </c>
      <c r="N115" s="502"/>
      <c r="O115" s="502">
        <v>0</v>
      </c>
      <c r="P115" s="502">
        <f t="shared" si="1"/>
        <v>0</v>
      </c>
    </row>
    <row r="116" spans="1:16" s="504" customFormat="1" ht="14.25" x14ac:dyDescent="0.2">
      <c r="A116" s="500">
        <v>1028</v>
      </c>
      <c r="B116" s="500">
        <v>0</v>
      </c>
      <c r="C116" s="500" t="s">
        <v>978</v>
      </c>
      <c r="D116" s="500" t="s">
        <v>979</v>
      </c>
      <c r="E116" s="500" t="s">
        <v>836</v>
      </c>
      <c r="F116" s="500"/>
      <c r="G116" s="500" t="s">
        <v>829</v>
      </c>
      <c r="H116" s="500"/>
      <c r="I116" s="508" t="s">
        <v>187</v>
      </c>
      <c r="J116" s="507" t="s">
        <v>785</v>
      </c>
      <c r="K116" s="502">
        <v>45295.98</v>
      </c>
      <c r="L116" s="502">
        <v>0</v>
      </c>
      <c r="M116" s="502">
        <v>45295.98</v>
      </c>
      <c r="N116" s="502"/>
      <c r="O116" s="502">
        <v>0</v>
      </c>
      <c r="P116" s="502">
        <f t="shared" si="1"/>
        <v>0</v>
      </c>
    </row>
    <row r="117" spans="1:16" s="504" customFormat="1" ht="14.25" x14ac:dyDescent="0.2">
      <c r="A117" s="500">
        <v>1045</v>
      </c>
      <c r="B117" s="500">
        <v>0</v>
      </c>
      <c r="C117" s="500" t="s">
        <v>980</v>
      </c>
      <c r="D117" s="500" t="s">
        <v>981</v>
      </c>
      <c r="E117" s="500" t="s">
        <v>843</v>
      </c>
      <c r="F117" s="500"/>
      <c r="G117" s="500" t="s">
        <v>799</v>
      </c>
      <c r="H117" s="500"/>
      <c r="I117" s="508" t="s">
        <v>187</v>
      </c>
      <c r="J117" s="507" t="s">
        <v>785</v>
      </c>
      <c r="K117" s="502">
        <v>0</v>
      </c>
      <c r="L117" s="502">
        <v>140000</v>
      </c>
      <c r="M117" s="502">
        <v>134862.37</v>
      </c>
      <c r="N117" s="502"/>
      <c r="O117" s="502">
        <v>0</v>
      </c>
      <c r="P117" s="502">
        <f t="shared" si="1"/>
        <v>5137.6300000000047</v>
      </c>
    </row>
    <row r="118" spans="1:16" s="504" customFormat="1" ht="14.25" x14ac:dyDescent="0.2">
      <c r="A118" s="500">
        <v>1046</v>
      </c>
      <c r="B118" s="500">
        <v>0</v>
      </c>
      <c r="C118" s="500" t="s">
        <v>980</v>
      </c>
      <c r="D118" s="500" t="s">
        <v>982</v>
      </c>
      <c r="E118" s="500" t="s">
        <v>843</v>
      </c>
      <c r="F118" s="500"/>
      <c r="G118" s="500" t="s">
        <v>799</v>
      </c>
      <c r="H118" s="500"/>
      <c r="I118" s="508" t="s">
        <v>187</v>
      </c>
      <c r="J118" s="507" t="s">
        <v>785</v>
      </c>
      <c r="K118" s="502">
        <v>0</v>
      </c>
      <c r="L118" s="502">
        <v>11500</v>
      </c>
      <c r="M118" s="502">
        <v>10741.49</v>
      </c>
      <c r="N118" s="502"/>
      <c r="O118" s="502">
        <v>0</v>
      </c>
      <c r="P118" s="502">
        <f t="shared" si="1"/>
        <v>758.51000000000022</v>
      </c>
    </row>
    <row r="119" spans="1:16" s="504" customFormat="1" ht="14.25" x14ac:dyDescent="0.2">
      <c r="A119" s="500">
        <v>1069</v>
      </c>
      <c r="B119" s="500">
        <v>0</v>
      </c>
      <c r="C119" s="500" t="s">
        <v>983</v>
      </c>
      <c r="D119" s="500" t="s">
        <v>984</v>
      </c>
      <c r="E119" s="500" t="s">
        <v>799</v>
      </c>
      <c r="F119" s="500"/>
      <c r="G119" s="500" t="s">
        <v>843</v>
      </c>
      <c r="H119" s="500"/>
      <c r="I119" s="508" t="s">
        <v>187</v>
      </c>
      <c r="J119" s="507" t="s">
        <v>785</v>
      </c>
      <c r="K119" s="502">
        <v>0</v>
      </c>
      <c r="L119" s="502">
        <v>33000</v>
      </c>
      <c r="M119" s="502">
        <v>12065.8</v>
      </c>
      <c r="N119" s="502"/>
      <c r="O119" s="502">
        <v>0</v>
      </c>
      <c r="P119" s="502">
        <f t="shared" si="1"/>
        <v>20934.2</v>
      </c>
    </row>
    <row r="120" spans="1:16" s="504" customFormat="1" ht="14.25" x14ac:dyDescent="0.2">
      <c r="A120" s="500">
        <v>1089</v>
      </c>
      <c r="B120" s="500">
        <v>0</v>
      </c>
      <c r="C120" s="500" t="s">
        <v>985</v>
      </c>
      <c r="D120" s="500" t="s">
        <v>986</v>
      </c>
      <c r="E120" s="500" t="s">
        <v>843</v>
      </c>
      <c r="F120" s="500"/>
      <c r="G120" s="500" t="s">
        <v>799</v>
      </c>
      <c r="H120" s="500"/>
      <c r="I120" s="508" t="s">
        <v>187</v>
      </c>
      <c r="J120" s="507" t="s">
        <v>785</v>
      </c>
      <c r="K120" s="502">
        <v>2537.6</v>
      </c>
      <c r="L120" s="502">
        <v>4225.6000000000004</v>
      </c>
      <c r="M120" s="502">
        <v>6763.2</v>
      </c>
      <c r="N120" s="502"/>
      <c r="O120" s="502">
        <v>0</v>
      </c>
      <c r="P120" s="502">
        <f t="shared" si="1"/>
        <v>9.0949470177292824E-13</v>
      </c>
    </row>
    <row r="121" spans="1:16" s="504" customFormat="1" ht="14.25" x14ac:dyDescent="0.2">
      <c r="A121" s="500">
        <v>1315</v>
      </c>
      <c r="B121" s="500">
        <v>0</v>
      </c>
      <c r="C121" s="500" t="s">
        <v>985</v>
      </c>
      <c r="D121" s="500" t="s">
        <v>987</v>
      </c>
      <c r="E121" s="500" t="s">
        <v>843</v>
      </c>
      <c r="F121" s="500"/>
      <c r="G121" s="500" t="s">
        <v>799</v>
      </c>
      <c r="H121" s="500"/>
      <c r="I121" s="508" t="s">
        <v>187</v>
      </c>
      <c r="J121" s="507" t="s">
        <v>785</v>
      </c>
      <c r="K121" s="502">
        <v>1005.55</v>
      </c>
      <c r="L121" s="502">
        <v>0</v>
      </c>
      <c r="M121" s="502">
        <v>0</v>
      </c>
      <c r="N121" s="502"/>
      <c r="O121" s="502">
        <v>0</v>
      </c>
      <c r="P121" s="502">
        <f t="shared" si="1"/>
        <v>1005.55</v>
      </c>
    </row>
    <row r="122" spans="1:16" s="504" customFormat="1" ht="14.25" x14ac:dyDescent="0.2">
      <c r="A122" s="500">
        <v>1027</v>
      </c>
      <c r="B122" s="500">
        <v>0</v>
      </c>
      <c r="C122" s="500" t="s">
        <v>988</v>
      </c>
      <c r="D122" s="500" t="s">
        <v>989</v>
      </c>
      <c r="E122" s="500" t="s">
        <v>843</v>
      </c>
      <c r="F122" s="500"/>
      <c r="G122" s="500" t="s">
        <v>799</v>
      </c>
      <c r="H122" s="500"/>
      <c r="I122" s="508" t="s">
        <v>190</v>
      </c>
      <c r="J122" s="501" t="s">
        <v>990</v>
      </c>
      <c r="K122" s="502">
        <v>11347</v>
      </c>
      <c r="L122" s="502">
        <v>0</v>
      </c>
      <c r="M122" s="502">
        <v>0</v>
      </c>
      <c r="N122" s="502"/>
      <c r="O122" s="502">
        <v>0</v>
      </c>
      <c r="P122" s="502">
        <f t="shared" si="1"/>
        <v>11347</v>
      </c>
    </row>
    <row r="123" spans="1:16" s="504" customFormat="1" ht="14.25" x14ac:dyDescent="0.2">
      <c r="A123" s="500">
        <v>1320</v>
      </c>
      <c r="B123" s="500">
        <v>0</v>
      </c>
      <c r="C123" s="500" t="s">
        <v>991</v>
      </c>
      <c r="D123" s="500" t="s">
        <v>992</v>
      </c>
      <c r="E123" s="500" t="s">
        <v>993</v>
      </c>
      <c r="F123" s="500"/>
      <c r="G123" s="500" t="s">
        <v>800</v>
      </c>
      <c r="H123" s="500"/>
      <c r="I123" s="509" t="s">
        <v>177</v>
      </c>
      <c r="J123" s="507" t="s">
        <v>785</v>
      </c>
      <c r="K123" s="502">
        <v>0</v>
      </c>
      <c r="L123" s="502">
        <v>58013.279999999999</v>
      </c>
      <c r="M123" s="502">
        <v>58013.279999999999</v>
      </c>
      <c r="N123" s="502"/>
      <c r="O123" s="502">
        <v>0</v>
      </c>
      <c r="P123" s="502">
        <f t="shared" si="1"/>
        <v>0</v>
      </c>
    </row>
    <row r="124" spans="1:16" s="504" customFormat="1" ht="14.25" x14ac:dyDescent="0.2">
      <c r="A124" s="500">
        <v>1340</v>
      </c>
      <c r="B124" s="500">
        <v>0</v>
      </c>
      <c r="C124" s="500" t="s">
        <v>994</v>
      </c>
      <c r="D124" s="500" t="s">
        <v>784</v>
      </c>
      <c r="E124" s="500" t="s">
        <v>995</v>
      </c>
      <c r="F124" s="500"/>
      <c r="G124" s="500" t="s">
        <v>799</v>
      </c>
      <c r="H124" s="500"/>
      <c r="I124" s="509" t="s">
        <v>194</v>
      </c>
      <c r="J124" s="507" t="s">
        <v>785</v>
      </c>
      <c r="K124" s="502">
        <v>0</v>
      </c>
      <c r="L124" s="502">
        <v>25476.35</v>
      </c>
      <c r="M124" s="502">
        <v>25476.35</v>
      </c>
      <c r="N124" s="502"/>
      <c r="O124" s="502">
        <v>0</v>
      </c>
      <c r="P124" s="502">
        <f t="shared" si="1"/>
        <v>0</v>
      </c>
    </row>
    <row r="125" spans="1:16" s="504" customFormat="1" ht="14.25" x14ac:dyDescent="0.2">
      <c r="A125" s="500">
        <v>1330</v>
      </c>
      <c r="B125" s="500">
        <v>0</v>
      </c>
      <c r="C125" s="500" t="s">
        <v>996</v>
      </c>
      <c r="D125" s="500" t="s">
        <v>997</v>
      </c>
      <c r="E125" s="500" t="s">
        <v>995</v>
      </c>
      <c r="F125" s="500"/>
      <c r="G125" s="500" t="s">
        <v>799</v>
      </c>
      <c r="H125" s="500"/>
      <c r="I125" s="509" t="s">
        <v>195</v>
      </c>
      <c r="J125" s="507" t="s">
        <v>785</v>
      </c>
      <c r="K125" s="502">
        <v>0</v>
      </c>
      <c r="L125" s="502">
        <v>11161.58</v>
      </c>
      <c r="M125" s="502">
        <v>11161.58</v>
      </c>
      <c r="N125" s="502"/>
      <c r="O125" s="502">
        <v>0</v>
      </c>
      <c r="P125" s="502">
        <f t="shared" si="1"/>
        <v>0</v>
      </c>
    </row>
    <row r="126" spans="1:16" s="504" customFormat="1" ht="14.25" x14ac:dyDescent="0.2">
      <c r="A126" s="500">
        <v>1345</v>
      </c>
      <c r="B126" s="500">
        <v>0</v>
      </c>
      <c r="C126" s="500" t="s">
        <v>998</v>
      </c>
      <c r="D126" s="500" t="s">
        <v>790</v>
      </c>
      <c r="E126" s="500" t="s">
        <v>995</v>
      </c>
      <c r="F126" s="500"/>
      <c r="G126" s="500" t="s">
        <v>799</v>
      </c>
      <c r="H126" s="500"/>
      <c r="I126" s="509" t="s">
        <v>197</v>
      </c>
      <c r="J126" s="507" t="s">
        <v>785</v>
      </c>
      <c r="K126" s="502">
        <v>16.07</v>
      </c>
      <c r="L126" s="502">
        <v>1491.7</v>
      </c>
      <c r="M126" s="502">
        <v>1491.7</v>
      </c>
      <c r="N126" s="502"/>
      <c r="O126" s="502">
        <v>16.07</v>
      </c>
      <c r="P126" s="502">
        <f t="shared" si="1"/>
        <v>-6.3948846218409017E-14</v>
      </c>
    </row>
    <row r="127" spans="1:16" s="504" customFormat="1" ht="14.25" x14ac:dyDescent="0.2">
      <c r="A127" s="500">
        <v>1346</v>
      </c>
      <c r="B127" s="500">
        <v>0</v>
      </c>
      <c r="C127" s="500" t="s">
        <v>998</v>
      </c>
      <c r="D127" s="500" t="s">
        <v>999</v>
      </c>
      <c r="E127" s="500" t="s">
        <v>995</v>
      </c>
      <c r="F127" s="500"/>
      <c r="G127" s="500" t="s">
        <v>799</v>
      </c>
      <c r="H127" s="500"/>
      <c r="I127" s="509" t="s">
        <v>197</v>
      </c>
      <c r="J127" s="507" t="s">
        <v>785</v>
      </c>
      <c r="K127" s="502">
        <v>12.24</v>
      </c>
      <c r="L127" s="502">
        <v>971.2</v>
      </c>
      <c r="M127" s="502">
        <v>971.2</v>
      </c>
      <c r="N127" s="502"/>
      <c r="O127" s="502">
        <v>12.24</v>
      </c>
      <c r="P127" s="502">
        <f t="shared" si="1"/>
        <v>0</v>
      </c>
    </row>
    <row r="128" spans="1:16" s="504" customFormat="1" ht="14.25" x14ac:dyDescent="0.2">
      <c r="A128" s="500">
        <v>1340</v>
      </c>
      <c r="B128" s="500">
        <v>1</v>
      </c>
      <c r="C128" s="500" t="s">
        <v>1000</v>
      </c>
      <c r="D128" s="500" t="s">
        <v>1001</v>
      </c>
      <c r="E128" s="500" t="s">
        <v>995</v>
      </c>
      <c r="F128" s="500"/>
      <c r="G128" s="500" t="s">
        <v>799</v>
      </c>
      <c r="H128" s="500"/>
      <c r="I128" s="509" t="s">
        <v>194</v>
      </c>
      <c r="J128" s="507" t="s">
        <v>785</v>
      </c>
      <c r="K128" s="502">
        <v>837.04</v>
      </c>
      <c r="L128" s="502">
        <v>0</v>
      </c>
      <c r="M128" s="502">
        <v>550</v>
      </c>
      <c r="N128" s="502"/>
      <c r="O128" s="502">
        <v>287.04000000000002</v>
      </c>
      <c r="P128" s="502">
        <f t="shared" si="1"/>
        <v>0</v>
      </c>
    </row>
    <row r="129" spans="1:17" s="504" customFormat="1" ht="14.25" x14ac:dyDescent="0.2">
      <c r="A129" s="500">
        <v>1370</v>
      </c>
      <c r="B129" s="500">
        <v>0</v>
      </c>
      <c r="C129" s="500" t="s">
        <v>1002</v>
      </c>
      <c r="D129" s="500" t="s">
        <v>1003</v>
      </c>
      <c r="E129" s="500" t="s">
        <v>995</v>
      </c>
      <c r="F129" s="500"/>
      <c r="G129" s="500" t="s">
        <v>799</v>
      </c>
      <c r="H129" s="500"/>
      <c r="I129" s="508" t="s">
        <v>197</v>
      </c>
      <c r="J129" s="507" t="s">
        <v>785</v>
      </c>
      <c r="K129" s="502">
        <v>0</v>
      </c>
      <c r="L129" s="502">
        <v>4600</v>
      </c>
      <c r="M129" s="502">
        <v>4600</v>
      </c>
      <c r="N129" s="502"/>
      <c r="O129" s="502">
        <v>0</v>
      </c>
      <c r="P129" s="502">
        <f t="shared" si="1"/>
        <v>0</v>
      </c>
    </row>
    <row r="130" spans="1:17" s="504" customFormat="1" ht="14.25" x14ac:dyDescent="0.2">
      <c r="A130" s="500">
        <v>1355</v>
      </c>
      <c r="B130" s="500">
        <v>0</v>
      </c>
      <c r="C130" s="500" t="s">
        <v>1004</v>
      </c>
      <c r="D130" s="500" t="s">
        <v>1005</v>
      </c>
      <c r="E130" s="500" t="s">
        <v>995</v>
      </c>
      <c r="F130" s="500"/>
      <c r="G130" s="500" t="s">
        <v>799</v>
      </c>
      <c r="H130" s="500"/>
      <c r="I130" s="508" t="s">
        <v>197</v>
      </c>
      <c r="J130" s="507" t="s">
        <v>785</v>
      </c>
      <c r="K130" s="502">
        <v>13583.16</v>
      </c>
      <c r="L130" s="502">
        <v>86002.12</v>
      </c>
      <c r="M130" s="502">
        <v>86650.63</v>
      </c>
      <c r="N130" s="502"/>
      <c r="O130" s="502">
        <v>0</v>
      </c>
      <c r="P130" s="502">
        <f t="shared" si="1"/>
        <v>12934.649999999994</v>
      </c>
    </row>
    <row r="131" spans="1:17" s="504" customFormat="1" ht="14.25" x14ac:dyDescent="0.2">
      <c r="A131" s="500">
        <v>1360</v>
      </c>
      <c r="B131" s="500">
        <v>0</v>
      </c>
      <c r="C131" s="500" t="s">
        <v>1006</v>
      </c>
      <c r="D131" s="500" t="s">
        <v>1007</v>
      </c>
      <c r="E131" s="500" t="s">
        <v>995</v>
      </c>
      <c r="F131" s="500"/>
      <c r="G131" s="500" t="s">
        <v>799</v>
      </c>
      <c r="H131" s="500"/>
      <c r="I131" s="508" t="s">
        <v>197</v>
      </c>
      <c r="J131" s="507" t="s">
        <v>785</v>
      </c>
      <c r="K131" s="502">
        <v>261.3</v>
      </c>
      <c r="L131" s="502">
        <v>5907.29</v>
      </c>
      <c r="M131" s="502">
        <v>5907.29</v>
      </c>
      <c r="N131" s="502"/>
      <c r="O131" s="502">
        <v>261.3</v>
      </c>
      <c r="P131" s="502">
        <f t="shared" ref="P131" si="2">K131+L131-M131+N131-O131</f>
        <v>0</v>
      </c>
    </row>
    <row r="134" spans="1:17" s="178" customFormat="1" x14ac:dyDescent="0.25">
      <c r="K134" s="238">
        <f t="shared" ref="K134:P134" si="3">SUM(K3:K133)</f>
        <v>857949.4800000001</v>
      </c>
      <c r="L134" s="238">
        <f t="shared" si="3"/>
        <v>1053917.99</v>
      </c>
      <c r="M134" s="238">
        <f t="shared" si="3"/>
        <v>1213629.7700000005</v>
      </c>
      <c r="N134" s="238">
        <f t="shared" si="3"/>
        <v>0</v>
      </c>
      <c r="O134" s="238">
        <f t="shared" si="3"/>
        <v>12420.09</v>
      </c>
      <c r="P134" s="238">
        <f t="shared" si="3"/>
        <v>685817.6100000001</v>
      </c>
      <c r="Q134" s="239" t="s">
        <v>384</v>
      </c>
    </row>
    <row r="136" spans="1:17" x14ac:dyDescent="0.25">
      <c r="A136" s="43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8"/>
  <sheetViews>
    <sheetView topLeftCell="A135" zoomScale="75" zoomScaleNormal="75" workbookViewId="0">
      <selection activeCell="D166" sqref="D166"/>
    </sheetView>
  </sheetViews>
  <sheetFormatPr defaultRowHeight="15" x14ac:dyDescent="0.25"/>
  <cols>
    <col min="2" max="2" width="44.7109375" customWidth="1"/>
    <col min="3" max="3" width="15.140625" style="64" customWidth="1"/>
    <col min="4" max="4" width="15.140625" customWidth="1"/>
    <col min="5" max="6" width="16.5703125" customWidth="1"/>
    <col min="7" max="7" width="15.7109375" bestFit="1" customWidth="1"/>
    <col min="8" max="8" width="16.140625" customWidth="1"/>
    <col min="9" max="9" width="17.140625" customWidth="1"/>
    <col min="10" max="10" width="15.7109375" customWidth="1"/>
    <col min="11" max="11" width="18.5703125" customWidth="1"/>
    <col min="12" max="12" width="9" bestFit="1" customWidth="1"/>
    <col min="13" max="13" width="12.28515625" customWidth="1"/>
  </cols>
  <sheetData>
    <row r="1" spans="1:3" ht="19.5" thickBot="1" x14ac:dyDescent="0.35">
      <c r="A1" s="445" t="s">
        <v>601</v>
      </c>
      <c r="B1" s="443" t="s">
        <v>599</v>
      </c>
      <c r="C1" s="444"/>
    </row>
    <row r="2" spans="1:3" ht="15.75" thickBot="1" x14ac:dyDescent="0.3"/>
    <row r="3" spans="1:3" ht="30" x14ac:dyDescent="0.25">
      <c r="A3" s="93" t="s">
        <v>552</v>
      </c>
      <c r="B3" s="88" t="s">
        <v>581</v>
      </c>
      <c r="C3" s="167" t="s">
        <v>257</v>
      </c>
    </row>
    <row r="4" spans="1:3" x14ac:dyDescent="0.25">
      <c r="B4" s="76"/>
      <c r="C4" s="91"/>
    </row>
    <row r="5" spans="1:3" x14ac:dyDescent="0.25">
      <c r="B5" s="76" t="s">
        <v>567</v>
      </c>
      <c r="C5" s="91">
        <v>0</v>
      </c>
    </row>
    <row r="6" spans="1:3" x14ac:dyDescent="0.25">
      <c r="B6" s="76" t="s">
        <v>568</v>
      </c>
      <c r="C6" s="91">
        <v>109925.23</v>
      </c>
    </row>
    <row r="7" spans="1:3" x14ac:dyDescent="0.25">
      <c r="B7" s="76" t="s">
        <v>569</v>
      </c>
      <c r="C7" s="91">
        <v>177382.55</v>
      </c>
    </row>
    <row r="8" spans="1:3" x14ac:dyDescent="0.25">
      <c r="B8" s="76" t="s">
        <v>570</v>
      </c>
      <c r="C8" s="91">
        <v>0</v>
      </c>
    </row>
    <row r="9" spans="1:3" x14ac:dyDescent="0.25">
      <c r="B9" s="76" t="s">
        <v>571</v>
      </c>
      <c r="C9" s="91">
        <v>4372434.88</v>
      </c>
    </row>
    <row r="10" spans="1:3" x14ac:dyDescent="0.25">
      <c r="B10" s="76" t="s">
        <v>572</v>
      </c>
      <c r="C10" s="91">
        <v>225633.75</v>
      </c>
    </row>
    <row r="11" spans="1:3" x14ac:dyDescent="0.25">
      <c r="B11" s="76" t="s">
        <v>573</v>
      </c>
      <c r="C11" s="91">
        <v>287712</v>
      </c>
    </row>
    <row r="12" spans="1:3" x14ac:dyDescent="0.25">
      <c r="B12" s="76" t="s">
        <v>574</v>
      </c>
      <c r="C12" s="91">
        <v>1858141.39</v>
      </c>
    </row>
    <row r="13" spans="1:3" x14ac:dyDescent="0.25">
      <c r="B13" s="76" t="s">
        <v>591</v>
      </c>
      <c r="C13" s="91">
        <v>0</v>
      </c>
    </row>
    <row r="14" spans="1:3" x14ac:dyDescent="0.25">
      <c r="B14" s="76" t="s">
        <v>575</v>
      </c>
      <c r="C14" s="91">
        <v>22012.33</v>
      </c>
    </row>
    <row r="15" spans="1:3" x14ac:dyDescent="0.25">
      <c r="B15" s="76" t="s">
        <v>576</v>
      </c>
      <c r="C15" s="91">
        <v>17885.740000000002</v>
      </c>
    </row>
    <row r="16" spans="1:3" x14ac:dyDescent="0.25">
      <c r="B16" s="76" t="s">
        <v>577</v>
      </c>
      <c r="C16" s="91">
        <v>909.22</v>
      </c>
    </row>
    <row r="17" spans="1:3" x14ac:dyDescent="0.25">
      <c r="B17" s="76" t="s">
        <v>578</v>
      </c>
      <c r="C17" s="91">
        <v>15302.5</v>
      </c>
    </row>
    <row r="18" spans="1:3" x14ac:dyDescent="0.25">
      <c r="B18" s="76" t="s">
        <v>592</v>
      </c>
      <c r="C18" s="91">
        <v>0</v>
      </c>
    </row>
    <row r="19" spans="1:3" x14ac:dyDescent="0.25">
      <c r="B19" s="76" t="s">
        <v>579</v>
      </c>
      <c r="C19" s="91">
        <v>0</v>
      </c>
    </row>
    <row r="20" spans="1:3" ht="15.75" thickBot="1" x14ac:dyDescent="0.3">
      <c r="B20" s="78" t="s">
        <v>580</v>
      </c>
      <c r="C20" s="92">
        <v>832181.42</v>
      </c>
    </row>
    <row r="21" spans="1:3" ht="30.75" thickBot="1" x14ac:dyDescent="0.3">
      <c r="A21" s="93" t="s">
        <v>553</v>
      </c>
      <c r="B21" s="88" t="s">
        <v>582</v>
      </c>
      <c r="C21" s="167" t="s">
        <v>257</v>
      </c>
    </row>
    <row r="22" spans="1:3" x14ac:dyDescent="0.25">
      <c r="B22" s="431"/>
      <c r="C22" s="90"/>
    </row>
    <row r="23" spans="1:3" x14ac:dyDescent="0.25">
      <c r="B23" s="432" t="s">
        <v>583</v>
      </c>
      <c r="C23" s="91">
        <v>0</v>
      </c>
    </row>
    <row r="24" spans="1:3" x14ac:dyDescent="0.25">
      <c r="B24" s="433" t="s">
        <v>584</v>
      </c>
      <c r="C24" s="91">
        <v>0</v>
      </c>
    </row>
    <row r="25" spans="1:3" x14ac:dyDescent="0.25">
      <c r="B25" s="433" t="s">
        <v>271</v>
      </c>
      <c r="C25" s="91">
        <v>0</v>
      </c>
    </row>
    <row r="26" spans="1:3" x14ac:dyDescent="0.25">
      <c r="B26" s="434" t="s">
        <v>585</v>
      </c>
      <c r="C26" s="91">
        <v>6633592.5700000003</v>
      </c>
    </row>
    <row r="27" spans="1:3" x14ac:dyDescent="0.25">
      <c r="B27" s="434" t="s">
        <v>587</v>
      </c>
      <c r="C27" s="91">
        <v>23402.02</v>
      </c>
    </row>
    <row r="28" spans="1:3" x14ac:dyDescent="0.25">
      <c r="B28" s="435" t="s">
        <v>586</v>
      </c>
      <c r="C28" s="91">
        <v>0</v>
      </c>
    </row>
    <row r="29" spans="1:3" x14ac:dyDescent="0.25">
      <c r="B29" s="433" t="s">
        <v>588</v>
      </c>
      <c r="C29" s="91">
        <v>0</v>
      </c>
    </row>
    <row r="30" spans="1:3" x14ac:dyDescent="0.25">
      <c r="B30" s="436" t="s">
        <v>589</v>
      </c>
      <c r="C30" s="91">
        <v>-684872.64</v>
      </c>
    </row>
    <row r="31" spans="1:3" ht="15.75" thickBot="1" x14ac:dyDescent="0.3">
      <c r="B31" s="437" t="s">
        <v>590</v>
      </c>
      <c r="C31" s="92">
        <v>-557096.37</v>
      </c>
    </row>
    <row r="32" spans="1:3" ht="15.75" thickBot="1" x14ac:dyDescent="0.3">
      <c r="B32" s="430"/>
      <c r="C32" s="71"/>
    </row>
    <row r="33" spans="1:13" ht="19.5" thickBot="1" x14ac:dyDescent="0.35">
      <c r="A33" s="445" t="s">
        <v>604</v>
      </c>
      <c r="B33" s="443" t="s">
        <v>600</v>
      </c>
      <c r="C33" s="444"/>
    </row>
    <row r="34" spans="1:13" ht="15.75" thickBot="1" x14ac:dyDescent="0.3"/>
    <row r="35" spans="1:13" x14ac:dyDescent="0.25">
      <c r="A35" s="93" t="s">
        <v>605</v>
      </c>
      <c r="B35" s="88" t="s">
        <v>360</v>
      </c>
      <c r="C35" s="391" t="s">
        <v>501</v>
      </c>
      <c r="D35" s="180"/>
      <c r="E35" s="90"/>
      <c r="F35" s="65"/>
      <c r="G35" t="s">
        <v>683</v>
      </c>
    </row>
    <row r="36" spans="1:13" x14ac:dyDescent="0.25">
      <c r="A36" s="93"/>
      <c r="B36" s="181" t="s">
        <v>361</v>
      </c>
      <c r="C36" s="183">
        <f>'SP-ATTIVO'!G54</f>
        <v>0</v>
      </c>
      <c r="D36" s="115" t="s">
        <v>502</v>
      </c>
      <c r="E36" s="184">
        <f>IF(C37&gt;C36,C37-C36,0)</f>
        <v>0</v>
      </c>
      <c r="G36" t="s">
        <v>684</v>
      </c>
    </row>
    <row r="37" spans="1:13" ht="15.75" thickBot="1" x14ac:dyDescent="0.3">
      <c r="A37" s="93"/>
      <c r="B37" s="182" t="s">
        <v>362</v>
      </c>
      <c r="C37" s="185">
        <v>0</v>
      </c>
      <c r="D37" s="390" t="s">
        <v>503</v>
      </c>
      <c r="E37" s="186">
        <f>IF(C36&gt;C37,C36-C37,0)</f>
        <v>0</v>
      </c>
      <c r="G37" t="s">
        <v>691</v>
      </c>
    </row>
    <row r="38" spans="1:13" ht="15.75" thickBot="1" x14ac:dyDescent="0.3"/>
    <row r="39" spans="1:13" ht="30" x14ac:dyDescent="0.25">
      <c r="A39" s="93" t="s">
        <v>606</v>
      </c>
      <c r="B39" s="88" t="s">
        <v>280</v>
      </c>
      <c r="C39" s="94" t="s">
        <v>265</v>
      </c>
      <c r="D39" s="95" t="s">
        <v>272</v>
      </c>
      <c r="E39" s="278" t="s">
        <v>425</v>
      </c>
      <c r="F39" s="278" t="s">
        <v>504</v>
      </c>
      <c r="G39" s="327" t="s">
        <v>467</v>
      </c>
      <c r="H39" s="75" t="s">
        <v>281</v>
      </c>
      <c r="I39" s="284" t="s">
        <v>566</v>
      </c>
      <c r="J39" s="414"/>
      <c r="K39" s="414"/>
      <c r="L39" s="415" t="s">
        <v>537</v>
      </c>
      <c r="M39" s="416" t="s">
        <v>536</v>
      </c>
    </row>
    <row r="40" spans="1:13" x14ac:dyDescent="0.25">
      <c r="A40" s="93"/>
      <c r="B40" s="76" t="s">
        <v>432</v>
      </c>
      <c r="C40" s="71">
        <v>2073948.9</v>
      </c>
      <c r="D40" s="71">
        <f>SUM('Bilancio entrata'!L29:L42)</f>
        <v>238000</v>
      </c>
      <c r="E40" s="71">
        <f>D40</f>
        <v>238000</v>
      </c>
      <c r="F40" s="392">
        <f>SUM('Bilancio entrata'!O36:O42)</f>
        <v>2363.67</v>
      </c>
      <c r="G40" s="328">
        <v>2257094.0699999998</v>
      </c>
      <c r="H40" s="281">
        <f>ROUND((G40*0.03),2)-M40</f>
        <v>67712.820000000007</v>
      </c>
      <c r="I40" s="417" t="s">
        <v>535</v>
      </c>
      <c r="J40" s="414"/>
      <c r="K40" s="414"/>
      <c r="L40" s="414">
        <v>0</v>
      </c>
      <c r="M40" s="418">
        <f>ROUND(((F40*0.03)*L40),2)</f>
        <v>0</v>
      </c>
    </row>
    <row r="41" spans="1:13" ht="15.75" thickBot="1" x14ac:dyDescent="0.3">
      <c r="A41" s="93"/>
      <c r="B41" s="78" t="s">
        <v>433</v>
      </c>
      <c r="C41" s="79">
        <v>0</v>
      </c>
      <c r="D41" s="79">
        <v>0</v>
      </c>
      <c r="E41" s="79">
        <f>D41</f>
        <v>0</v>
      </c>
      <c r="F41" s="393">
        <v>0</v>
      </c>
      <c r="G41" s="329">
        <v>0</v>
      </c>
      <c r="H41" s="188">
        <f>ROUND((G41*0.03),2)-M41</f>
        <v>0</v>
      </c>
      <c r="I41" s="417" t="s">
        <v>535</v>
      </c>
      <c r="J41" s="414"/>
      <c r="K41" s="414"/>
      <c r="L41" s="414">
        <v>0</v>
      </c>
      <c r="M41" s="418">
        <f>ROUND(((F41*0.03)*L41),2)</f>
        <v>0</v>
      </c>
    </row>
    <row r="42" spans="1:13" ht="15.75" thickBot="1" x14ac:dyDescent="0.3">
      <c r="C42" s="495"/>
      <c r="D42" s="496" t="s">
        <v>702</v>
      </c>
      <c r="E42" s="497">
        <v>0</v>
      </c>
      <c r="F42" s="458"/>
      <c r="G42" s="498" t="s">
        <v>703</v>
      </c>
      <c r="H42" s="499">
        <v>0</v>
      </c>
    </row>
    <row r="43" spans="1:13" ht="15.75" thickBot="1" x14ac:dyDescent="0.3">
      <c r="A43" s="93" t="s">
        <v>607</v>
      </c>
      <c r="B43" s="88" t="s">
        <v>271</v>
      </c>
      <c r="C43" s="94" t="s">
        <v>265</v>
      </c>
      <c r="D43" s="75" t="s">
        <v>272</v>
      </c>
    </row>
    <row r="44" spans="1:13" ht="15.75" thickBot="1" x14ac:dyDescent="0.3">
      <c r="A44" s="93"/>
      <c r="B44" s="78"/>
      <c r="C44" s="79">
        <f>C25</f>
        <v>0</v>
      </c>
      <c r="D44" s="92">
        <f>'Bilancio entrata'!L44</f>
        <v>26848.5</v>
      </c>
      <c r="E44" s="315" t="s">
        <v>457</v>
      </c>
      <c r="F44" s="316"/>
      <c r="G44" s="316"/>
      <c r="H44" s="317">
        <v>0</v>
      </c>
    </row>
    <row r="45" spans="1:13" x14ac:dyDescent="0.25">
      <c r="A45" s="93"/>
      <c r="B45" s="76" t="s">
        <v>451</v>
      </c>
      <c r="C45" s="281">
        <v>0</v>
      </c>
      <c r="D45" s="389" t="s">
        <v>435</v>
      </c>
    </row>
    <row r="46" spans="1:13" x14ac:dyDescent="0.25">
      <c r="A46" s="93"/>
      <c r="B46" s="387" t="s">
        <v>452</v>
      </c>
      <c r="C46" s="388">
        <f>D44-C45</f>
        <v>26848.5</v>
      </c>
      <c r="D46" s="389" t="s">
        <v>458</v>
      </c>
    </row>
    <row r="47" spans="1:13" ht="15.75" thickBot="1" x14ac:dyDescent="0.3">
      <c r="A47" s="93"/>
      <c r="B47" s="386" t="s">
        <v>455</v>
      </c>
      <c r="C47" s="188">
        <v>0</v>
      </c>
      <c r="D47" s="389" t="s">
        <v>456</v>
      </c>
    </row>
    <row r="48" spans="1:13" ht="15.75" thickBot="1" x14ac:dyDescent="0.3"/>
    <row r="49" spans="1:8" ht="15.75" x14ac:dyDescent="0.25">
      <c r="A49" s="93" t="s">
        <v>608</v>
      </c>
      <c r="B49" s="88" t="s">
        <v>274</v>
      </c>
      <c r="C49" s="180" t="s">
        <v>265</v>
      </c>
      <c r="D49" s="90" t="s">
        <v>272</v>
      </c>
      <c r="E49" s="456" t="s">
        <v>459</v>
      </c>
    </row>
    <row r="50" spans="1:8" ht="15.75" x14ac:dyDescent="0.25">
      <c r="A50" s="93"/>
      <c r="B50" s="181" t="s">
        <v>275</v>
      </c>
      <c r="C50" s="183">
        <v>0</v>
      </c>
      <c r="D50" s="184">
        <v>0</v>
      </c>
      <c r="E50" s="456" t="s">
        <v>644</v>
      </c>
    </row>
    <row r="51" spans="1:8" x14ac:dyDescent="0.25">
      <c r="A51" s="93"/>
      <c r="B51" s="181" t="s">
        <v>276</v>
      </c>
      <c r="C51" s="183">
        <v>0</v>
      </c>
      <c r="D51" s="184">
        <v>0</v>
      </c>
    </row>
    <row r="52" spans="1:8" x14ac:dyDescent="0.25">
      <c r="A52" s="93"/>
      <c r="B52" s="181" t="s">
        <v>277</v>
      </c>
      <c r="C52" s="183">
        <v>635511.93999999994</v>
      </c>
      <c r="D52" s="184">
        <v>0</v>
      </c>
    </row>
    <row r="53" spans="1:8" ht="15.75" thickBot="1" x14ac:dyDescent="0.3">
      <c r="A53" s="93"/>
      <c r="B53" s="182" t="s">
        <v>214</v>
      </c>
      <c r="C53" s="185">
        <v>0</v>
      </c>
      <c r="D53" s="186">
        <v>0</v>
      </c>
    </row>
    <row r="54" spans="1:8" ht="15.75" thickBot="1" x14ac:dyDescent="0.3"/>
    <row r="55" spans="1:8" ht="19.5" thickBot="1" x14ac:dyDescent="0.35">
      <c r="A55" s="445" t="s">
        <v>609</v>
      </c>
      <c r="B55" s="443" t="s">
        <v>602</v>
      </c>
      <c r="C55" s="444"/>
    </row>
    <row r="56" spans="1:8" ht="15.75" thickBot="1" x14ac:dyDescent="0.3"/>
    <row r="57" spans="1:8" ht="30" x14ac:dyDescent="0.25">
      <c r="A57" s="93" t="s">
        <v>610</v>
      </c>
      <c r="B57" s="88" t="s">
        <v>207</v>
      </c>
      <c r="C57" s="73" t="s">
        <v>257</v>
      </c>
      <c r="D57" s="74" t="s">
        <v>221</v>
      </c>
      <c r="E57" s="74" t="s">
        <v>264</v>
      </c>
      <c r="F57" s="80" t="s">
        <v>473</v>
      </c>
    </row>
    <row r="58" spans="1:8" ht="15.75" thickBot="1" x14ac:dyDescent="0.3">
      <c r="A58" s="93"/>
      <c r="B58" s="176"/>
      <c r="C58" s="79">
        <v>228313.58</v>
      </c>
      <c r="D58" s="79">
        <f>'Bilancio entrata'!M55</f>
        <v>1276899.69</v>
      </c>
      <c r="E58" s="79">
        <f>'Bilancio spesa'!M134</f>
        <v>1213629.7700000005</v>
      </c>
      <c r="F58" s="188">
        <f>C58+D58-E58</f>
        <v>291583.49999999953</v>
      </c>
    </row>
    <row r="59" spans="1:8" ht="15.75" thickBot="1" x14ac:dyDescent="0.3">
      <c r="A59" s="93"/>
      <c r="B59" s="319"/>
      <c r="C59" s="71"/>
      <c r="D59" s="71"/>
      <c r="E59" s="71"/>
      <c r="F59" s="81"/>
    </row>
    <row r="60" spans="1:8" ht="30" x14ac:dyDescent="0.25">
      <c r="A60" s="93" t="s">
        <v>611</v>
      </c>
      <c r="B60" s="88" t="s">
        <v>685</v>
      </c>
      <c r="C60" s="73" t="s">
        <v>262</v>
      </c>
      <c r="D60" s="167" t="s">
        <v>431</v>
      </c>
      <c r="E60" s="441"/>
      <c r="F60" s="282"/>
      <c r="G60" s="282"/>
      <c r="H60" s="282"/>
    </row>
    <row r="61" spans="1:8" x14ac:dyDescent="0.25">
      <c r="A61" s="93"/>
      <c r="B61" s="181" t="s">
        <v>468</v>
      </c>
      <c r="C61" s="330">
        <v>0</v>
      </c>
      <c r="D61" s="331">
        <v>0</v>
      </c>
      <c r="E61" s="283"/>
      <c r="F61" s="282"/>
      <c r="G61" s="282"/>
      <c r="H61" s="282"/>
    </row>
    <row r="62" spans="1:8" x14ac:dyDescent="0.25">
      <c r="A62" s="93"/>
      <c r="B62" s="181" t="s">
        <v>469</v>
      </c>
      <c r="C62" s="330">
        <v>0</v>
      </c>
      <c r="D62" s="331">
        <v>0</v>
      </c>
      <c r="E62" s="283"/>
      <c r="F62" s="282"/>
      <c r="G62" s="282"/>
      <c r="H62" s="282"/>
    </row>
    <row r="63" spans="1:8" x14ac:dyDescent="0.25">
      <c r="A63" s="93"/>
      <c r="B63" s="181" t="s">
        <v>694</v>
      </c>
      <c r="C63" s="330">
        <v>0</v>
      </c>
      <c r="D63" s="331">
        <v>0</v>
      </c>
      <c r="E63" s="283"/>
      <c r="F63" s="282"/>
      <c r="G63" s="282"/>
      <c r="H63" s="282"/>
    </row>
    <row r="64" spans="1:8" x14ac:dyDescent="0.25">
      <c r="A64" s="93"/>
      <c r="B64" s="181" t="s">
        <v>693</v>
      </c>
      <c r="C64" s="330">
        <v>0</v>
      </c>
      <c r="D64" s="331">
        <v>0</v>
      </c>
      <c r="E64" s="283"/>
      <c r="F64" s="282"/>
      <c r="G64" s="282"/>
      <c r="H64" s="282"/>
    </row>
    <row r="65" spans="1:19" ht="15.75" thickBot="1" x14ac:dyDescent="0.3">
      <c r="A65" s="93"/>
      <c r="B65" s="369" t="s">
        <v>470</v>
      </c>
      <c r="C65" s="370">
        <f>SUM(C61:C64)</f>
        <v>0</v>
      </c>
      <c r="D65" s="371">
        <f>SUM(D61:D64)</f>
        <v>0</v>
      </c>
      <c r="E65" s="283"/>
    </row>
    <row r="66" spans="1:19" ht="15.75" thickBot="1" x14ac:dyDescent="0.3"/>
    <row r="67" spans="1:19" ht="30" x14ac:dyDescent="0.25">
      <c r="A67" s="93" t="s">
        <v>612</v>
      </c>
      <c r="B67" s="88" t="s">
        <v>442</v>
      </c>
      <c r="C67" s="73" t="s">
        <v>262</v>
      </c>
      <c r="D67" s="73" t="s">
        <v>263</v>
      </c>
      <c r="E67" s="167" t="s">
        <v>431</v>
      </c>
      <c r="F67" s="441"/>
      <c r="G67" s="282"/>
      <c r="H67" s="282"/>
      <c r="I67" s="282"/>
    </row>
    <row r="68" spans="1:19" x14ac:dyDescent="0.25">
      <c r="A68" s="93"/>
      <c r="B68" s="181" t="s">
        <v>468</v>
      </c>
      <c r="C68" s="330">
        <v>6178.91</v>
      </c>
      <c r="D68" s="330">
        <f>E68-C68</f>
        <v>-3245.93</v>
      </c>
      <c r="E68" s="331">
        <v>2932.98</v>
      </c>
      <c r="F68" s="283"/>
      <c r="G68" s="282"/>
      <c r="H68" s="282"/>
      <c r="I68" s="282"/>
    </row>
    <row r="69" spans="1:19" x14ac:dyDescent="0.25">
      <c r="A69" s="93"/>
      <c r="B69" s="181" t="s">
        <v>469</v>
      </c>
      <c r="C69" s="330">
        <v>0</v>
      </c>
      <c r="D69" s="330">
        <f>E69-C69</f>
        <v>0</v>
      </c>
      <c r="E69" s="331">
        <v>0</v>
      </c>
      <c r="F69" s="283"/>
      <c r="G69" s="282"/>
      <c r="H69" s="282"/>
      <c r="I69" s="282"/>
    </row>
    <row r="70" spans="1:19" x14ac:dyDescent="0.25">
      <c r="A70" s="93"/>
      <c r="B70" s="181" t="s">
        <v>471</v>
      </c>
      <c r="C70" s="330">
        <v>0</v>
      </c>
      <c r="D70" s="330">
        <f>E70-C70</f>
        <v>0</v>
      </c>
      <c r="E70" s="331">
        <v>0</v>
      </c>
      <c r="F70" s="283"/>
      <c r="G70" s="282"/>
      <c r="H70" s="282"/>
      <c r="I70" s="282"/>
    </row>
    <row r="71" spans="1:19" ht="15.75" thickBot="1" x14ac:dyDescent="0.3">
      <c r="A71" s="93"/>
      <c r="B71" s="369" t="s">
        <v>470</v>
      </c>
      <c r="C71" s="370">
        <f>SUM(C68:C70)</f>
        <v>6178.91</v>
      </c>
      <c r="D71" s="370">
        <f>SUM(D68:D70)</f>
        <v>-3245.93</v>
      </c>
      <c r="E71" s="371">
        <f>SUM(E68:E70)</f>
        <v>2932.98</v>
      </c>
      <c r="F71" s="283"/>
    </row>
    <row r="72" spans="1:19" s="123" customFormat="1" ht="15.75" customHeight="1" thickBot="1" x14ac:dyDescent="0.4">
      <c r="C72" s="460"/>
      <c r="H72" s="461"/>
      <c r="I72" s="461"/>
      <c r="J72" s="461"/>
    </row>
    <row r="73" spans="1:19" ht="45" x14ac:dyDescent="0.25">
      <c r="A73" s="93" t="s">
        <v>613</v>
      </c>
      <c r="B73" s="311" t="s">
        <v>443</v>
      </c>
      <c r="C73" s="73" t="s">
        <v>262</v>
      </c>
      <c r="D73" s="73" t="s">
        <v>530</v>
      </c>
      <c r="E73" s="73" t="s">
        <v>699</v>
      </c>
      <c r="F73" s="167" t="s">
        <v>431</v>
      </c>
      <c r="G73" s="413" t="s">
        <v>526</v>
      </c>
      <c r="H73" s="282"/>
      <c r="I73" s="282"/>
      <c r="J73" s="282"/>
      <c r="K73" s="123"/>
      <c r="L73" s="123"/>
      <c r="M73" s="123"/>
      <c r="N73" s="123"/>
      <c r="O73" s="123"/>
      <c r="P73" s="412"/>
      <c r="Q73" s="412"/>
      <c r="R73" s="412"/>
      <c r="S73" s="412"/>
    </row>
    <row r="74" spans="1:19" ht="15.75" thickBot="1" x14ac:dyDescent="0.3">
      <c r="A74" s="93"/>
      <c r="B74" s="176" t="s">
        <v>444</v>
      </c>
      <c r="C74" s="79">
        <v>0</v>
      </c>
      <c r="D74" s="79">
        <v>0</v>
      </c>
      <c r="E74" s="79">
        <v>0</v>
      </c>
      <c r="F74" s="92">
        <f>C74+D74-E74</f>
        <v>0</v>
      </c>
      <c r="G74" s="406" t="s">
        <v>527</v>
      </c>
      <c r="K74" s="123"/>
      <c r="L74" s="123"/>
      <c r="M74" s="123"/>
      <c r="N74" s="123"/>
      <c r="O74" s="123"/>
      <c r="P74" s="123"/>
      <c r="Q74" s="123"/>
      <c r="R74" s="123"/>
      <c r="S74" s="123"/>
    </row>
    <row r="75" spans="1:19" x14ac:dyDescent="0.25">
      <c r="G75" s="406" t="s">
        <v>528</v>
      </c>
    </row>
    <row r="76" spans="1:19" ht="15.75" thickBot="1" x14ac:dyDescent="0.3">
      <c r="G76" s="494"/>
      <c r="H76" s="123"/>
      <c r="I76" s="123"/>
      <c r="J76" s="123"/>
      <c r="K76" s="123"/>
      <c r="L76" s="123"/>
      <c r="M76" s="123"/>
      <c r="N76" s="123"/>
      <c r="O76" s="123"/>
      <c r="P76" s="123"/>
    </row>
    <row r="77" spans="1:19" ht="30" x14ac:dyDescent="0.25">
      <c r="A77" s="93" t="s">
        <v>614</v>
      </c>
      <c r="B77" s="311" t="s">
        <v>491</v>
      </c>
      <c r="C77" s="180" t="s">
        <v>265</v>
      </c>
      <c r="D77" s="73" t="s">
        <v>263</v>
      </c>
      <c r="E77" s="75" t="s">
        <v>266</v>
      </c>
      <c r="F77" s="440"/>
    </row>
    <row r="78" spans="1:19" s="123" customFormat="1" x14ac:dyDescent="0.25">
      <c r="A78" s="318"/>
      <c r="B78" s="446" t="s">
        <v>623</v>
      </c>
      <c r="C78" s="447">
        <v>0</v>
      </c>
      <c r="D78" s="447">
        <f>E78-C78</f>
        <v>0</v>
      </c>
      <c r="E78" s="448">
        <v>0</v>
      </c>
      <c r="F78" s="440" t="s">
        <v>624</v>
      </c>
    </row>
    <row r="79" spans="1:19" s="123" customFormat="1" x14ac:dyDescent="0.25">
      <c r="A79" s="318"/>
      <c r="B79" s="446" t="s">
        <v>625</v>
      </c>
      <c r="C79" s="71">
        <v>0</v>
      </c>
      <c r="D79" s="71">
        <f>E79-C79</f>
        <v>0</v>
      </c>
      <c r="E79" s="91">
        <v>0</v>
      </c>
      <c r="F79" s="449" t="s">
        <v>627</v>
      </c>
    </row>
    <row r="80" spans="1:19" s="123" customFormat="1" x14ac:dyDescent="0.25">
      <c r="A80" s="318"/>
      <c r="B80" s="446" t="s">
        <v>626</v>
      </c>
      <c r="C80" s="447">
        <v>0</v>
      </c>
      <c r="D80" s="447">
        <f>E80-C80</f>
        <v>0</v>
      </c>
      <c r="E80" s="448">
        <v>0</v>
      </c>
      <c r="F80" s="440" t="s">
        <v>628</v>
      </c>
    </row>
    <row r="81" spans="1:6" s="123" customFormat="1" x14ac:dyDescent="0.25">
      <c r="A81" s="318"/>
      <c r="B81" s="446" t="s">
        <v>629</v>
      </c>
      <c r="C81" s="71">
        <v>0</v>
      </c>
      <c r="D81" s="71">
        <f>E81-C81</f>
        <v>0</v>
      </c>
      <c r="E81" s="91">
        <v>0</v>
      </c>
      <c r="F81" s="440"/>
    </row>
    <row r="82" spans="1:6" s="123" customFormat="1" x14ac:dyDescent="0.25">
      <c r="A82" s="318"/>
      <c r="B82" s="450" t="s">
        <v>315</v>
      </c>
      <c r="C82" s="71"/>
      <c r="D82" s="71"/>
      <c r="E82" s="91"/>
      <c r="F82" s="440"/>
    </row>
    <row r="83" spans="1:6" x14ac:dyDescent="0.25">
      <c r="B83" s="76" t="s">
        <v>630</v>
      </c>
      <c r="C83" s="71">
        <v>0</v>
      </c>
      <c r="D83" s="71">
        <f>E83-C83</f>
        <v>0</v>
      </c>
      <c r="E83" s="91">
        <v>0</v>
      </c>
      <c r="F83" s="65"/>
    </row>
    <row r="84" spans="1:6" s="123" customFormat="1" x14ac:dyDescent="0.25">
      <c r="B84" s="432" t="s">
        <v>635</v>
      </c>
      <c r="C84" s="71">
        <v>0</v>
      </c>
      <c r="D84" s="71">
        <f t="shared" ref="D84" si="0">E84-C84</f>
        <v>0</v>
      </c>
      <c r="E84" s="91">
        <v>0</v>
      </c>
      <c r="F84" s="440"/>
    </row>
    <row r="85" spans="1:6" x14ac:dyDescent="0.25">
      <c r="B85" s="76" t="s">
        <v>631</v>
      </c>
      <c r="C85" s="71">
        <v>0</v>
      </c>
      <c r="D85" s="71">
        <f t="shared" ref="D85:D89" si="1">E85-C85</f>
        <v>0</v>
      </c>
      <c r="E85" s="91">
        <v>0</v>
      </c>
      <c r="F85" s="65"/>
    </row>
    <row r="86" spans="1:6" x14ac:dyDescent="0.25">
      <c r="B86" s="76" t="s">
        <v>632</v>
      </c>
      <c r="C86" s="447">
        <v>0</v>
      </c>
      <c r="D86" s="447">
        <f>E86-C86</f>
        <v>0</v>
      </c>
      <c r="E86" s="448">
        <v>0</v>
      </c>
      <c r="F86" s="440" t="s">
        <v>633</v>
      </c>
    </row>
    <row r="87" spans="1:6" x14ac:dyDescent="0.25">
      <c r="B87" s="76" t="s">
        <v>1009</v>
      </c>
      <c r="C87" s="447">
        <v>0</v>
      </c>
      <c r="D87" s="447">
        <f>E87-C87</f>
        <v>1508</v>
      </c>
      <c r="E87" s="448">
        <v>1508</v>
      </c>
      <c r="F87" s="440" t="s">
        <v>633</v>
      </c>
    </row>
    <row r="88" spans="1:6" x14ac:dyDescent="0.25">
      <c r="B88" s="76" t="s">
        <v>712</v>
      </c>
      <c r="C88" s="71">
        <v>12000</v>
      </c>
      <c r="D88" s="71">
        <f t="shared" ref="D88" si="2">E88-C88</f>
        <v>-12000</v>
      </c>
      <c r="E88" s="91">
        <v>0</v>
      </c>
      <c r="F88" s="440"/>
    </row>
    <row r="89" spans="1:6" ht="15.75" thickBot="1" x14ac:dyDescent="0.3">
      <c r="B89" s="76" t="s">
        <v>634</v>
      </c>
      <c r="C89" s="71">
        <v>0</v>
      </c>
      <c r="D89" s="71">
        <f t="shared" si="1"/>
        <v>0</v>
      </c>
      <c r="E89" s="91">
        <v>0</v>
      </c>
      <c r="F89" s="389"/>
    </row>
    <row r="90" spans="1:6" x14ac:dyDescent="0.25">
      <c r="B90" s="453" t="s">
        <v>636</v>
      </c>
      <c r="C90" s="451">
        <f>C81</f>
        <v>0</v>
      </c>
      <c r="D90" s="451">
        <f>D81</f>
        <v>0</v>
      </c>
      <c r="E90" s="452">
        <f>E81</f>
        <v>0</v>
      </c>
      <c r="F90" s="389"/>
    </row>
    <row r="91" spans="1:6" ht="15.75" thickBot="1" x14ac:dyDescent="0.3">
      <c r="B91" s="369" t="s">
        <v>637</v>
      </c>
      <c r="C91" s="454">
        <f>C79+SUM(C83:C85)+SUM(C88:C89)</f>
        <v>12000</v>
      </c>
      <c r="D91" s="454">
        <f t="shared" ref="D91:E91" si="3">D79+SUM(D83:D85)+SUM(D88:D89)</f>
        <v>-12000</v>
      </c>
      <c r="E91" s="455">
        <f t="shared" si="3"/>
        <v>0</v>
      </c>
      <c r="F91" s="284"/>
    </row>
    <row r="92" spans="1:6" ht="15.75" thickBot="1" x14ac:dyDescent="0.3"/>
    <row r="93" spans="1:6" x14ac:dyDescent="0.25">
      <c r="A93" s="93" t="s">
        <v>640</v>
      </c>
      <c r="B93" s="88" t="s">
        <v>448</v>
      </c>
      <c r="C93" s="94" t="s">
        <v>273</v>
      </c>
      <c r="D93" s="75" t="s">
        <v>449</v>
      </c>
    </row>
    <row r="94" spans="1:6" x14ac:dyDescent="0.25">
      <c r="B94" s="76" t="s">
        <v>427</v>
      </c>
      <c r="C94" s="71">
        <v>121960</v>
      </c>
      <c r="D94" s="91">
        <v>72111</v>
      </c>
    </row>
    <row r="95" spans="1:6" x14ac:dyDescent="0.25">
      <c r="B95" s="76" t="s">
        <v>428</v>
      </c>
      <c r="C95" s="71">
        <v>6563</v>
      </c>
      <c r="D95" s="91">
        <v>6066</v>
      </c>
    </row>
    <row r="96" spans="1:6" ht="15.75" thickBot="1" x14ac:dyDescent="0.3">
      <c r="B96" s="78" t="s">
        <v>429</v>
      </c>
      <c r="C96" s="79">
        <v>6563</v>
      </c>
      <c r="D96" s="92">
        <v>6066</v>
      </c>
    </row>
    <row r="97" spans="1:12" ht="15.75" thickBot="1" x14ac:dyDescent="0.3"/>
    <row r="98" spans="1:12" ht="30" x14ac:dyDescent="0.25">
      <c r="A98" s="93" t="s">
        <v>692</v>
      </c>
      <c r="B98" s="311" t="s">
        <v>641</v>
      </c>
      <c r="C98" s="94" t="s">
        <v>273</v>
      </c>
      <c r="D98" s="75" t="s">
        <v>449</v>
      </c>
      <c r="E98" s="459" t="s">
        <v>643</v>
      </c>
      <c r="F98" s="458"/>
      <c r="G98" s="458"/>
      <c r="H98" s="458"/>
      <c r="I98" s="458"/>
    </row>
    <row r="99" spans="1:12" ht="15.75" thickBot="1" x14ac:dyDescent="0.3">
      <c r="B99" s="78" t="s">
        <v>642</v>
      </c>
      <c r="C99" s="79">
        <v>0</v>
      </c>
      <c r="D99" s="92">
        <v>0</v>
      </c>
    </row>
    <row r="100" spans="1:12" ht="15.75" thickBot="1" x14ac:dyDescent="0.3"/>
    <row r="101" spans="1:12" ht="19.5" thickBot="1" x14ac:dyDescent="0.35">
      <c r="A101" s="445" t="s">
        <v>615</v>
      </c>
      <c r="B101" s="442" t="s">
        <v>603</v>
      </c>
    </row>
    <row r="102" spans="1:12" ht="15.75" thickBot="1" x14ac:dyDescent="0.3">
      <c r="I102" s="312" t="s">
        <v>447</v>
      </c>
    </row>
    <row r="103" spans="1:12" ht="30" x14ac:dyDescent="0.25">
      <c r="A103" s="93" t="s">
        <v>616</v>
      </c>
      <c r="B103" s="88" t="s">
        <v>198</v>
      </c>
      <c r="C103" s="73" t="s">
        <v>262</v>
      </c>
      <c r="D103" s="174" t="s">
        <v>258</v>
      </c>
      <c r="E103" s="174" t="s">
        <v>259</v>
      </c>
      <c r="F103" s="74" t="s">
        <v>260</v>
      </c>
      <c r="G103" s="74" t="s">
        <v>261</v>
      </c>
      <c r="H103" s="80" t="s">
        <v>431</v>
      </c>
      <c r="I103" s="171" t="s">
        <v>445</v>
      </c>
      <c r="J103" s="171" t="s">
        <v>446</v>
      </c>
      <c r="K103" s="405" t="s">
        <v>510</v>
      </c>
      <c r="L103" s="111"/>
    </row>
    <row r="104" spans="1:12" x14ac:dyDescent="0.25">
      <c r="B104" s="76"/>
      <c r="C104" s="71"/>
      <c r="D104" s="72"/>
      <c r="E104" s="72"/>
      <c r="F104" s="72"/>
      <c r="G104" s="72"/>
      <c r="H104" s="77"/>
      <c r="K104" s="406" t="s">
        <v>596</v>
      </c>
    </row>
    <row r="105" spans="1:12" x14ac:dyDescent="0.25">
      <c r="B105" s="76" t="s">
        <v>713</v>
      </c>
      <c r="C105" s="71">
        <v>57707.57</v>
      </c>
      <c r="D105" s="71">
        <v>0</v>
      </c>
      <c r="E105" s="173">
        <v>0</v>
      </c>
      <c r="F105" s="81">
        <f>H105-C105</f>
        <v>8379.5400000000009</v>
      </c>
      <c r="G105" s="81">
        <v>0</v>
      </c>
      <c r="H105" s="91">
        <f>(ROUND((I105*J105),2))</f>
        <v>66087.11</v>
      </c>
      <c r="I105" s="64">
        <v>132174221</v>
      </c>
      <c r="J105" s="394">
        <v>5.0000000000000001E-4</v>
      </c>
      <c r="K105" s="64"/>
      <c r="L105" s="64"/>
    </row>
    <row r="106" spans="1:12" x14ac:dyDescent="0.25">
      <c r="B106" s="76" t="s">
        <v>714</v>
      </c>
      <c r="C106" s="71">
        <v>20265.55</v>
      </c>
      <c r="D106" s="71">
        <v>0</v>
      </c>
      <c r="E106" s="173">
        <v>0</v>
      </c>
      <c r="F106" s="81">
        <f>H106-C106</f>
        <v>4303.1900000000023</v>
      </c>
      <c r="G106" s="81">
        <v>0</v>
      </c>
      <c r="H106" s="91">
        <f t="shared" ref="H106:H109" si="4">(ROUND((I106*J106),2))</f>
        <v>24568.74</v>
      </c>
      <c r="I106" s="64">
        <v>5713661</v>
      </c>
      <c r="J106" s="394">
        <v>4.3E-3</v>
      </c>
      <c r="K106" s="64"/>
      <c r="L106" s="64"/>
    </row>
    <row r="107" spans="1:12" x14ac:dyDescent="0.25">
      <c r="B107" s="76" t="s">
        <v>201</v>
      </c>
      <c r="C107" s="71">
        <v>0</v>
      </c>
      <c r="D107" s="71">
        <v>0</v>
      </c>
      <c r="E107" s="173">
        <v>0</v>
      </c>
      <c r="F107" s="81">
        <v>0</v>
      </c>
      <c r="G107" s="81">
        <v>0</v>
      </c>
      <c r="H107" s="91">
        <f t="shared" si="4"/>
        <v>0</v>
      </c>
      <c r="I107" s="64"/>
      <c r="J107" s="394">
        <v>0</v>
      </c>
      <c r="K107" s="64"/>
      <c r="L107" s="64"/>
    </row>
    <row r="108" spans="1:12" x14ac:dyDescent="0.25">
      <c r="B108" s="76" t="s">
        <v>202</v>
      </c>
      <c r="C108" s="71">
        <v>0</v>
      </c>
      <c r="D108" s="71">
        <v>0</v>
      </c>
      <c r="E108" s="173">
        <v>0</v>
      </c>
      <c r="F108" s="81">
        <v>0</v>
      </c>
      <c r="G108" s="81">
        <v>0</v>
      </c>
      <c r="H108" s="91">
        <f t="shared" si="4"/>
        <v>0</v>
      </c>
      <c r="I108" s="64"/>
      <c r="J108" s="394">
        <v>0</v>
      </c>
      <c r="K108" s="64"/>
      <c r="L108" s="64"/>
    </row>
    <row r="109" spans="1:12" x14ac:dyDescent="0.25">
      <c r="B109" s="76" t="s">
        <v>203</v>
      </c>
      <c r="C109" s="71">
        <v>0</v>
      </c>
      <c r="D109" s="71">
        <v>0</v>
      </c>
      <c r="E109" s="173">
        <v>0</v>
      </c>
      <c r="F109" s="81">
        <v>0</v>
      </c>
      <c r="G109" s="81">
        <v>0</v>
      </c>
      <c r="H109" s="91">
        <f t="shared" si="4"/>
        <v>0</v>
      </c>
      <c r="I109" s="64"/>
      <c r="J109" s="394">
        <v>0</v>
      </c>
      <c r="K109" s="64"/>
      <c r="L109" s="64"/>
    </row>
    <row r="110" spans="1:12" x14ac:dyDescent="0.25">
      <c r="B110" s="82" t="s">
        <v>204</v>
      </c>
      <c r="C110" s="83">
        <f t="shared" ref="C110:H110" si="5">SUM(C105:C109)</f>
        <v>77973.119999999995</v>
      </c>
      <c r="D110" s="84">
        <f t="shared" si="5"/>
        <v>0</v>
      </c>
      <c r="E110" s="84">
        <f t="shared" si="5"/>
        <v>0</v>
      </c>
      <c r="F110" s="84">
        <f t="shared" si="5"/>
        <v>12682.730000000003</v>
      </c>
      <c r="G110" s="84">
        <f t="shared" si="5"/>
        <v>0</v>
      </c>
      <c r="H110" s="314">
        <f t="shared" si="5"/>
        <v>90655.85</v>
      </c>
      <c r="I110" s="172"/>
      <c r="J110" s="313"/>
      <c r="K110" s="172"/>
      <c r="L110" s="172"/>
    </row>
    <row r="111" spans="1:12" x14ac:dyDescent="0.25">
      <c r="B111" s="76"/>
      <c r="C111" s="71"/>
      <c r="D111" s="72"/>
      <c r="E111" s="81"/>
      <c r="F111" s="72"/>
      <c r="G111" s="72"/>
      <c r="H111" s="91"/>
      <c r="I111" s="64"/>
      <c r="J111" s="64"/>
      <c r="K111" s="64"/>
      <c r="L111" s="64"/>
    </row>
    <row r="112" spans="1:12" x14ac:dyDescent="0.25">
      <c r="B112" s="76" t="s">
        <v>199</v>
      </c>
      <c r="C112" s="71">
        <v>0</v>
      </c>
      <c r="D112" s="71">
        <v>0</v>
      </c>
      <c r="E112" s="173">
        <v>0</v>
      </c>
      <c r="F112" s="81">
        <v>0</v>
      </c>
      <c r="G112" s="81">
        <v>0</v>
      </c>
      <c r="H112" s="91">
        <f t="shared" ref="H112:H113" si="6">(ROUND((I112*J112),2))</f>
        <v>0</v>
      </c>
      <c r="I112" s="64"/>
      <c r="J112" s="394">
        <v>0</v>
      </c>
      <c r="K112" s="64"/>
      <c r="L112" s="64"/>
    </row>
    <row r="113" spans="1:12" x14ac:dyDescent="0.25">
      <c r="B113" s="76" t="s">
        <v>200</v>
      </c>
      <c r="C113" s="71">
        <v>0</v>
      </c>
      <c r="D113" s="71">
        <v>0</v>
      </c>
      <c r="E113" s="173">
        <v>0</v>
      </c>
      <c r="F113" s="81">
        <v>0</v>
      </c>
      <c r="G113" s="81">
        <v>0</v>
      </c>
      <c r="H113" s="91">
        <f t="shared" si="6"/>
        <v>0</v>
      </c>
      <c r="I113" s="64"/>
      <c r="J113" s="394">
        <v>0</v>
      </c>
      <c r="K113" s="64"/>
      <c r="L113" s="64"/>
    </row>
    <row r="114" spans="1:12" s="72" customFormat="1" x14ac:dyDescent="0.25">
      <c r="B114" s="82" t="s">
        <v>205</v>
      </c>
      <c r="C114" s="83">
        <f t="shared" ref="C114:H114" si="7">SUM(C112:C113)</f>
        <v>0</v>
      </c>
      <c r="D114" s="84">
        <f t="shared" si="7"/>
        <v>0</v>
      </c>
      <c r="E114" s="84">
        <f t="shared" si="7"/>
        <v>0</v>
      </c>
      <c r="F114" s="84">
        <f t="shared" si="7"/>
        <v>0</v>
      </c>
      <c r="G114" s="84">
        <f t="shared" si="7"/>
        <v>0</v>
      </c>
      <c r="H114" s="395">
        <f t="shared" si="7"/>
        <v>0</v>
      </c>
      <c r="I114" s="83"/>
      <c r="J114" s="83"/>
      <c r="K114" s="83"/>
      <c r="L114" s="83"/>
    </row>
    <row r="115" spans="1:12" x14ac:dyDescent="0.25">
      <c r="B115" s="82"/>
      <c r="C115" s="83"/>
      <c r="D115" s="84"/>
      <c r="E115" s="84"/>
      <c r="F115" s="84"/>
      <c r="G115" s="84"/>
      <c r="H115" s="91"/>
      <c r="I115" s="172"/>
      <c r="J115" s="172"/>
      <c r="K115" s="172"/>
      <c r="L115" s="172"/>
    </row>
    <row r="116" spans="1:12" x14ac:dyDescent="0.25">
      <c r="B116" s="76" t="s">
        <v>199</v>
      </c>
      <c r="C116" s="71">
        <v>0</v>
      </c>
      <c r="D116" s="71">
        <v>0</v>
      </c>
      <c r="E116" s="173">
        <v>0</v>
      </c>
      <c r="F116" s="81">
        <v>0</v>
      </c>
      <c r="G116" s="81">
        <v>0</v>
      </c>
      <c r="H116" s="91">
        <f t="shared" ref="H116:H117" si="8">(ROUND((I116*J116),2))</f>
        <v>0</v>
      </c>
      <c r="I116" s="64"/>
      <c r="J116" s="394">
        <v>0</v>
      </c>
      <c r="K116" s="64"/>
      <c r="L116" s="64"/>
    </row>
    <row r="117" spans="1:12" x14ac:dyDescent="0.25">
      <c r="B117" s="76" t="s">
        <v>200</v>
      </c>
      <c r="C117" s="71">
        <v>0</v>
      </c>
      <c r="D117" s="71">
        <v>0</v>
      </c>
      <c r="E117" s="173">
        <v>0</v>
      </c>
      <c r="F117" s="81">
        <v>0</v>
      </c>
      <c r="G117" s="81">
        <v>0</v>
      </c>
      <c r="H117" s="91">
        <f t="shared" si="8"/>
        <v>0</v>
      </c>
      <c r="I117" s="64"/>
      <c r="J117" s="394">
        <v>0</v>
      </c>
      <c r="K117" s="64"/>
      <c r="L117" s="64"/>
    </row>
    <row r="118" spans="1:12" ht="15.75" thickBot="1" x14ac:dyDescent="0.3">
      <c r="B118" s="85" t="s">
        <v>60</v>
      </c>
      <c r="C118" s="86">
        <f t="shared" ref="C118:H118" si="9">SUM(C116:C117)</f>
        <v>0</v>
      </c>
      <c r="D118" s="87">
        <f t="shared" si="9"/>
        <v>0</v>
      </c>
      <c r="E118" s="87">
        <f t="shared" si="9"/>
        <v>0</v>
      </c>
      <c r="F118" s="87">
        <f t="shared" si="9"/>
        <v>0</v>
      </c>
      <c r="G118" s="87">
        <f t="shared" si="9"/>
        <v>0</v>
      </c>
      <c r="H118" s="396">
        <f t="shared" si="9"/>
        <v>0</v>
      </c>
      <c r="I118" s="172"/>
      <c r="J118" s="172"/>
      <c r="K118" s="172"/>
      <c r="L118" s="172"/>
    </row>
    <row r="119" spans="1:12" ht="15.75" thickBot="1" x14ac:dyDescent="0.3"/>
    <row r="120" spans="1:12" ht="30" x14ac:dyDescent="0.25">
      <c r="A120" s="93" t="s">
        <v>187</v>
      </c>
      <c r="B120" s="88" t="s">
        <v>206</v>
      </c>
      <c r="C120" s="73" t="s">
        <v>262</v>
      </c>
      <c r="D120" s="73" t="s">
        <v>511</v>
      </c>
      <c r="E120" s="80" t="s">
        <v>473</v>
      </c>
    </row>
    <row r="121" spans="1:12" ht="15.75" thickBot="1" x14ac:dyDescent="0.3">
      <c r="A121" s="93"/>
      <c r="B121" s="176"/>
      <c r="C121" s="175">
        <v>0</v>
      </c>
      <c r="D121" s="79">
        <f>E121-C121</f>
        <v>0</v>
      </c>
      <c r="E121" s="92">
        <v>0</v>
      </c>
    </row>
    <row r="122" spans="1:12" ht="15.75" thickBot="1" x14ac:dyDescent="0.3"/>
    <row r="123" spans="1:12" x14ac:dyDescent="0.25">
      <c r="A123" s="93" t="s">
        <v>188</v>
      </c>
      <c r="B123" s="88" t="s">
        <v>208</v>
      </c>
      <c r="C123" s="94" t="s">
        <v>265</v>
      </c>
      <c r="D123" s="75" t="s">
        <v>266</v>
      </c>
    </row>
    <row r="124" spans="1:12" x14ac:dyDescent="0.25">
      <c r="B124" s="76" t="s">
        <v>209</v>
      </c>
      <c r="C124" s="71">
        <v>0</v>
      </c>
      <c r="D124" s="91">
        <v>0</v>
      </c>
    </row>
    <row r="125" spans="1:12" x14ac:dyDescent="0.25">
      <c r="B125" s="76" t="s">
        <v>210</v>
      </c>
      <c r="C125" s="71">
        <f>'Ratei e risconti'!D25</f>
        <v>851.4</v>
      </c>
      <c r="D125" s="91">
        <f>'Ratei e risconti'!F25</f>
        <v>1062.4100000000001</v>
      </c>
    </row>
    <row r="126" spans="1:12" x14ac:dyDescent="0.25">
      <c r="B126" s="76" t="s">
        <v>211</v>
      </c>
      <c r="C126" s="71">
        <f>C96</f>
        <v>6563</v>
      </c>
      <c r="D126" s="91">
        <f>D96</f>
        <v>6066</v>
      </c>
    </row>
    <row r="127" spans="1:12" ht="15.75" thickBot="1" x14ac:dyDescent="0.3">
      <c r="B127" s="78" t="s">
        <v>212</v>
      </c>
      <c r="C127" s="79">
        <f>'Ratei e risconti'!D50</f>
        <v>0</v>
      </c>
      <c r="D127" s="92">
        <f>'Ratei e risconti'!F50</f>
        <v>0</v>
      </c>
    </row>
    <row r="128" spans="1:12" ht="15.75" thickBot="1" x14ac:dyDescent="0.3"/>
    <row r="129" spans="1:11" x14ac:dyDescent="0.25">
      <c r="A129" s="93" t="s">
        <v>617</v>
      </c>
      <c r="B129" s="88" t="s">
        <v>213</v>
      </c>
      <c r="C129" s="94"/>
      <c r="D129" s="94"/>
      <c r="E129" s="94"/>
      <c r="F129" s="94"/>
      <c r="G129" s="95"/>
      <c r="H129" s="95"/>
      <c r="I129" s="95"/>
      <c r="J129" s="380"/>
      <c r="K129" s="405" t="s">
        <v>541</v>
      </c>
    </row>
    <row r="130" spans="1:11" x14ac:dyDescent="0.25">
      <c r="B130" s="372" t="s">
        <v>492</v>
      </c>
      <c r="C130" s="373">
        <v>271</v>
      </c>
      <c r="D130" s="373" t="s">
        <v>704</v>
      </c>
      <c r="E130" s="373">
        <v>165</v>
      </c>
      <c r="F130" s="373" t="s">
        <v>494</v>
      </c>
      <c r="G130" s="373">
        <v>0</v>
      </c>
      <c r="H130" s="374" t="s">
        <v>496</v>
      </c>
      <c r="I130" s="378">
        <f>C130+E130+G130</f>
        <v>436</v>
      </c>
      <c r="J130" s="381" t="str">
        <f>IF(I130&gt;I131,"CREDITO FINALE","DEBITO FINALE")</f>
        <v>DEBITO FINALE</v>
      </c>
      <c r="K130" s="406"/>
    </row>
    <row r="131" spans="1:11" ht="15.75" thickBot="1" x14ac:dyDescent="0.3">
      <c r="B131" s="375" t="s">
        <v>493</v>
      </c>
      <c r="C131" s="376">
        <v>0</v>
      </c>
      <c r="D131" s="376" t="s">
        <v>705</v>
      </c>
      <c r="E131" s="376">
        <v>627</v>
      </c>
      <c r="F131" s="376" t="s">
        <v>495</v>
      </c>
      <c r="G131" s="376">
        <v>2</v>
      </c>
      <c r="H131" s="377" t="s">
        <v>497</v>
      </c>
      <c r="I131" s="379">
        <f>C131+E131+G131</f>
        <v>629</v>
      </c>
      <c r="J131" s="382">
        <f>IF((I130&gt;I131),(I130-I131),(I131-I130))</f>
        <v>193</v>
      </c>
      <c r="K131" s="389" t="s">
        <v>1013</v>
      </c>
    </row>
    <row r="132" spans="1:11" x14ac:dyDescent="0.25">
      <c r="B132" s="419"/>
      <c r="C132" s="420"/>
      <c r="D132" s="420"/>
      <c r="E132" s="420"/>
      <c r="F132" s="420"/>
      <c r="G132" s="420"/>
      <c r="H132" s="419"/>
      <c r="I132" s="421"/>
      <c r="J132" s="425"/>
      <c r="K132" s="389"/>
    </row>
    <row r="133" spans="1:11" s="123" customFormat="1" x14ac:dyDescent="0.25">
      <c r="B133" s="429" t="s">
        <v>543</v>
      </c>
      <c r="C133" s="427" t="s">
        <v>539</v>
      </c>
      <c r="D133" s="427" t="s">
        <v>542</v>
      </c>
      <c r="E133" s="428" t="s">
        <v>540</v>
      </c>
      <c r="F133" s="428" t="s">
        <v>542</v>
      </c>
      <c r="G133" s="423"/>
      <c r="H133" s="422"/>
      <c r="I133" s="424"/>
      <c r="J133" s="425"/>
      <c r="K133" s="426"/>
    </row>
    <row r="134" spans="1:11" s="123" customFormat="1" x14ac:dyDescent="0.25">
      <c r="B134" s="422"/>
      <c r="C134" s="427" t="s">
        <v>544</v>
      </c>
      <c r="D134" s="427">
        <v>0</v>
      </c>
      <c r="E134" s="428" t="s">
        <v>547</v>
      </c>
      <c r="F134" s="428">
        <v>0</v>
      </c>
      <c r="G134" s="423"/>
      <c r="H134" s="486" t="s">
        <v>686</v>
      </c>
      <c r="I134" s="487"/>
      <c r="J134" s="488"/>
      <c r="K134" s="489"/>
    </row>
    <row r="135" spans="1:11" s="123" customFormat="1" x14ac:dyDescent="0.25">
      <c r="B135" s="422"/>
      <c r="C135" s="427" t="s">
        <v>545</v>
      </c>
      <c r="D135" s="427">
        <f>E130</f>
        <v>165</v>
      </c>
      <c r="E135" s="428" t="s">
        <v>548</v>
      </c>
      <c r="F135" s="428">
        <v>0</v>
      </c>
      <c r="G135" s="423"/>
      <c r="H135" s="486" t="s">
        <v>687</v>
      </c>
      <c r="I135" s="487"/>
      <c r="J135" s="488"/>
      <c r="K135" s="489"/>
    </row>
    <row r="136" spans="1:11" s="123" customFormat="1" x14ac:dyDescent="0.25">
      <c r="B136" s="422"/>
      <c r="C136" s="427" t="s">
        <v>546</v>
      </c>
      <c r="D136" s="427">
        <f>J131</f>
        <v>193</v>
      </c>
      <c r="E136" s="428" t="s">
        <v>549</v>
      </c>
      <c r="F136" s="428">
        <f>I131</f>
        <v>629</v>
      </c>
      <c r="G136" s="423"/>
      <c r="H136" s="486" t="s">
        <v>688</v>
      </c>
      <c r="I136" s="487"/>
      <c r="J136" s="488"/>
      <c r="K136" s="489"/>
    </row>
    <row r="137" spans="1:11" s="123" customFormat="1" x14ac:dyDescent="0.25">
      <c r="B137" s="422"/>
      <c r="C137" s="428"/>
      <c r="D137" s="428"/>
      <c r="E137" s="428" t="s">
        <v>550</v>
      </c>
      <c r="F137" s="428">
        <v>0</v>
      </c>
      <c r="G137" s="423"/>
      <c r="H137" s="486" t="s">
        <v>689</v>
      </c>
      <c r="I137" s="487"/>
      <c r="J137" s="488"/>
      <c r="K137" s="489"/>
    </row>
    <row r="138" spans="1:11" ht="15.75" thickBot="1" x14ac:dyDescent="0.3"/>
    <row r="139" spans="1:11" x14ac:dyDescent="0.25">
      <c r="A139" s="93" t="s">
        <v>618</v>
      </c>
      <c r="B139" s="88" t="s">
        <v>356</v>
      </c>
      <c r="C139" s="222">
        <f>SUM(C140:C148)</f>
        <v>32227.77</v>
      </c>
    </row>
    <row r="140" spans="1:11" x14ac:dyDescent="0.25">
      <c r="A140" s="93"/>
      <c r="B140" s="220" t="s">
        <v>358</v>
      </c>
      <c r="C140" s="184">
        <f>'Variazioni immobilizzazioni AC'!S11</f>
        <v>3553.98</v>
      </c>
      <c r="D140" s="406" t="s">
        <v>598</v>
      </c>
      <c r="F140" s="406"/>
    </row>
    <row r="141" spans="1:11" x14ac:dyDescent="0.25">
      <c r="A141" s="93"/>
      <c r="B141" s="220" t="s">
        <v>357</v>
      </c>
      <c r="C141" s="184">
        <f>'Bilancio entrata'!N55-E42</f>
        <v>1007.7699999999999</v>
      </c>
      <c r="D141" t="s">
        <v>597</v>
      </c>
    </row>
    <row r="142" spans="1:11" x14ac:dyDescent="0.25">
      <c r="A142" s="93"/>
      <c r="B142" s="220" t="s">
        <v>279</v>
      </c>
      <c r="C142" s="184">
        <f>'Bilancio spesa'!O134-'Titolo 2'!B4</f>
        <v>12420.09</v>
      </c>
      <c r="D142" t="s">
        <v>414</v>
      </c>
    </row>
    <row r="143" spans="1:11" x14ac:dyDescent="0.25">
      <c r="A143" s="93"/>
      <c r="B143" s="220" t="s">
        <v>472</v>
      </c>
      <c r="C143" s="184">
        <f>IF(D71&lt;0,-D71,0)</f>
        <v>3245.93</v>
      </c>
    </row>
    <row r="144" spans="1:11" x14ac:dyDescent="0.25">
      <c r="A144" s="93"/>
      <c r="B144" s="220" t="s">
        <v>697</v>
      </c>
      <c r="C144" s="184">
        <f>E74</f>
        <v>0</v>
      </c>
    </row>
    <row r="145" spans="1:10" x14ac:dyDescent="0.25">
      <c r="A145" s="93"/>
      <c r="B145" s="220" t="s">
        <v>638</v>
      </c>
      <c r="C145" s="184">
        <f>IF(D90&lt;0,-D90,0)</f>
        <v>0</v>
      </c>
    </row>
    <row r="146" spans="1:10" x14ac:dyDescent="0.25">
      <c r="A146" s="93"/>
      <c r="B146" s="220" t="s">
        <v>639</v>
      </c>
      <c r="C146" s="184">
        <f>IF(D91&lt;0,-D91,0)</f>
        <v>12000</v>
      </c>
    </row>
    <row r="147" spans="1:10" x14ac:dyDescent="0.25">
      <c r="A147" s="93"/>
      <c r="B147" s="220" t="s">
        <v>675</v>
      </c>
      <c r="C147" s="184">
        <f>'Accertamenti competenza'!L99</f>
        <v>0</v>
      </c>
    </row>
    <row r="148" spans="1:10" ht="15.75" thickBot="1" x14ac:dyDescent="0.3">
      <c r="A148" s="93"/>
      <c r="B148" s="221" t="s">
        <v>359</v>
      </c>
      <c r="C148" s="186">
        <v>0</v>
      </c>
    </row>
    <row r="149" spans="1:10" ht="15.75" thickBot="1" x14ac:dyDescent="0.3"/>
    <row r="150" spans="1:10" x14ac:dyDescent="0.25">
      <c r="A150" s="93" t="s">
        <v>619</v>
      </c>
      <c r="B150" s="88" t="s">
        <v>364</v>
      </c>
      <c r="C150" s="222">
        <f>SUM(C151:C154)</f>
        <v>12819.75</v>
      </c>
    </row>
    <row r="151" spans="1:10" x14ac:dyDescent="0.25">
      <c r="A151" s="93"/>
      <c r="B151" s="220" t="s">
        <v>363</v>
      </c>
      <c r="C151" s="184">
        <f>'Impegni competenza'!L133</f>
        <v>0</v>
      </c>
    </row>
    <row r="152" spans="1:10" x14ac:dyDescent="0.25">
      <c r="A152" s="93"/>
      <c r="B152" s="220" t="s">
        <v>223</v>
      </c>
      <c r="C152" s="184">
        <f>'Bilancio entrata'!O55-F40-F41-D74</f>
        <v>12819.75</v>
      </c>
      <c r="D152" t="s">
        <v>529</v>
      </c>
    </row>
    <row r="153" spans="1:10" x14ac:dyDescent="0.25">
      <c r="A153" s="93"/>
      <c r="B153" s="220" t="s">
        <v>698</v>
      </c>
      <c r="C153" s="184">
        <f>E74</f>
        <v>0</v>
      </c>
    </row>
    <row r="154" spans="1:10" ht="15.75" thickBot="1" x14ac:dyDescent="0.3">
      <c r="A154" s="93"/>
      <c r="B154" s="221" t="s">
        <v>359</v>
      </c>
      <c r="C154" s="186">
        <v>0</v>
      </c>
    </row>
    <row r="155" spans="1:10" ht="15.75" thickBot="1" x14ac:dyDescent="0.3"/>
    <row r="156" spans="1:10" ht="15.75" thickBot="1" x14ac:dyDescent="0.3">
      <c r="A156" s="93" t="s">
        <v>620</v>
      </c>
      <c r="B156" s="96" t="s">
        <v>430</v>
      </c>
      <c r="C156" s="67" t="s">
        <v>450</v>
      </c>
      <c r="J156" s="406" t="s">
        <v>512</v>
      </c>
    </row>
    <row r="157" spans="1:10" s="123" customFormat="1" x14ac:dyDescent="0.25">
      <c r="A157" s="318"/>
      <c r="B157" s="319"/>
      <c r="C157" s="320"/>
      <c r="J157" s="407" t="s">
        <v>538</v>
      </c>
    </row>
    <row r="158" spans="1:10" x14ac:dyDescent="0.25">
      <c r="B158" t="s">
        <v>460</v>
      </c>
      <c r="C158" s="64">
        <f>C26</f>
        <v>6633592.5700000003</v>
      </c>
      <c r="J158" s="406" t="s">
        <v>513</v>
      </c>
    </row>
    <row r="159" spans="1:10" x14ac:dyDescent="0.25">
      <c r="B159" t="s">
        <v>461</v>
      </c>
      <c r="C159" s="64">
        <v>6736376.5099999998</v>
      </c>
      <c r="J159" s="406" t="s">
        <v>514</v>
      </c>
    </row>
    <row r="160" spans="1:10" x14ac:dyDescent="0.25">
      <c r="B160" s="280" t="s">
        <v>426</v>
      </c>
      <c r="C160" s="64">
        <f>C159-C158</f>
        <v>102783.93999999948</v>
      </c>
    </row>
    <row r="161" spans="1:10" s="123" customFormat="1" x14ac:dyDescent="0.25">
      <c r="A161" s="318"/>
      <c r="B161" s="319"/>
      <c r="C161" s="320"/>
    </row>
    <row r="162" spans="1:10" s="123" customFormat="1" x14ac:dyDescent="0.25">
      <c r="A162" s="318"/>
      <c r="B162" s="321" t="s">
        <v>462</v>
      </c>
      <c r="C162" s="320"/>
      <c r="E162" s="412" t="s">
        <v>680</v>
      </c>
    </row>
    <row r="163" spans="1:10" x14ac:dyDescent="0.25">
      <c r="B163" t="s">
        <v>453</v>
      </c>
      <c r="D163" s="179">
        <f>C29</f>
        <v>0</v>
      </c>
    </row>
    <row r="164" spans="1:10" x14ac:dyDescent="0.25">
      <c r="B164" t="s">
        <v>454</v>
      </c>
      <c r="D164" s="179">
        <f>C46</f>
        <v>26848.5</v>
      </c>
    </row>
    <row r="165" spans="1:10" x14ac:dyDescent="0.25">
      <c r="B165" t="s">
        <v>1014</v>
      </c>
      <c r="D165" s="179">
        <f>C160-D164</f>
        <v>75935.439999999478</v>
      </c>
    </row>
    <row r="166" spans="1:10" ht="15.75" thickBot="1" x14ac:dyDescent="0.3">
      <c r="D166" s="64"/>
    </row>
    <row r="167" spans="1:10" ht="15.75" thickBot="1" x14ac:dyDescent="0.3">
      <c r="A167" s="93" t="s">
        <v>621</v>
      </c>
      <c r="B167" s="96" t="s">
        <v>505</v>
      </c>
    </row>
    <row r="169" spans="1:10" ht="15.75" thickBot="1" x14ac:dyDescent="0.3"/>
    <row r="170" spans="1:10" ht="19.5" thickBot="1" x14ac:dyDescent="0.35">
      <c r="A170" s="445" t="s">
        <v>622</v>
      </c>
      <c r="B170" s="442" t="s">
        <v>516</v>
      </c>
    </row>
    <row r="172" spans="1:10" hidden="1" x14ac:dyDescent="0.25">
      <c r="B172" s="409" t="s">
        <v>681</v>
      </c>
      <c r="C172" s="483" t="s">
        <v>676</v>
      </c>
      <c r="H172" s="123"/>
      <c r="I172" s="318"/>
      <c r="J172" s="123"/>
    </row>
    <row r="173" spans="1:10" hidden="1" x14ac:dyDescent="0.25">
      <c r="B173" s="410" t="s">
        <v>517</v>
      </c>
      <c r="C173" s="146">
        <f>'SP- PASSIVO'!J13</f>
        <v>0</v>
      </c>
      <c r="D173" s="284"/>
      <c r="H173" s="485"/>
      <c r="I173" s="123"/>
      <c r="J173" s="123"/>
    </row>
    <row r="174" spans="1:10" hidden="1" x14ac:dyDescent="0.25">
      <c r="B174" s="410" t="s">
        <v>518</v>
      </c>
      <c r="C174" s="146">
        <f>'CONTO ECO'!D83</f>
        <v>-114192.6699999999</v>
      </c>
      <c r="D174" s="284"/>
      <c r="H174" s="485"/>
      <c r="I174" s="123"/>
      <c r="J174" s="123"/>
    </row>
    <row r="175" spans="1:10" hidden="1" x14ac:dyDescent="0.25">
      <c r="B175" s="409" t="s">
        <v>519</v>
      </c>
      <c r="C175" s="411">
        <f>C173-C174</f>
        <v>114192.6699999999</v>
      </c>
      <c r="H175" s="485"/>
      <c r="I175" s="123"/>
      <c r="J175" s="123"/>
    </row>
    <row r="176" spans="1:10" x14ac:dyDescent="0.25">
      <c r="H176" s="485"/>
      <c r="I176" s="123"/>
      <c r="J176" s="123"/>
    </row>
    <row r="177" spans="2:10" x14ac:dyDescent="0.25">
      <c r="B177" s="409" t="s">
        <v>682</v>
      </c>
      <c r="C177" s="484" t="s">
        <v>677</v>
      </c>
      <c r="H177" s="485"/>
      <c r="I177" s="123"/>
      <c r="J177" s="123"/>
    </row>
    <row r="178" spans="2:10" x14ac:dyDescent="0.25">
      <c r="B178" s="410" t="s">
        <v>517</v>
      </c>
      <c r="C178" s="146">
        <f>'SP- PASSIVO'!J14-C30</f>
        <v>-114192.67000000051</v>
      </c>
      <c r="D178" s="284" t="s">
        <v>679</v>
      </c>
      <c r="H178" s="485"/>
      <c r="I178" s="123"/>
      <c r="J178" s="123"/>
    </row>
    <row r="179" spans="2:10" x14ac:dyDescent="0.25">
      <c r="B179" s="410" t="s">
        <v>518</v>
      </c>
      <c r="C179" s="146">
        <f>'CONTO ECO'!D83</f>
        <v>-114192.6699999999</v>
      </c>
      <c r="D179" s="284" t="s">
        <v>678</v>
      </c>
      <c r="H179" s="485"/>
      <c r="I179" s="123"/>
      <c r="J179" s="123"/>
    </row>
    <row r="180" spans="2:10" x14ac:dyDescent="0.25">
      <c r="B180" s="409" t="s">
        <v>519</v>
      </c>
      <c r="C180" s="411">
        <f>C178-C179</f>
        <v>-6.1118043959140778E-10</v>
      </c>
      <c r="H180" s="485"/>
      <c r="I180" s="123"/>
      <c r="J180" s="123"/>
    </row>
    <row r="182" spans="2:10" x14ac:dyDescent="0.25">
      <c r="B182" s="409" t="s">
        <v>520</v>
      </c>
      <c r="C182" s="146"/>
    </row>
    <row r="183" spans="2:10" x14ac:dyDescent="0.25">
      <c r="B183" s="410" t="s">
        <v>521</v>
      </c>
      <c r="C183" s="146">
        <f>'SP- PASSIVO'!J17-'SP- PASSIVO'!K17</f>
        <v>-74661.440000001341</v>
      </c>
    </row>
    <row r="184" spans="2:10" x14ac:dyDescent="0.25">
      <c r="B184" s="410" t="s">
        <v>522</v>
      </c>
      <c r="C184" s="146">
        <f>'CONTO ECO'!D83</f>
        <v>-114192.6699999999</v>
      </c>
    </row>
    <row r="185" spans="2:10" x14ac:dyDescent="0.25">
      <c r="B185" s="410" t="s">
        <v>523</v>
      </c>
      <c r="C185" s="146">
        <f>D44+H44-C45</f>
        <v>26848.5</v>
      </c>
    </row>
    <row r="186" spans="2:10" x14ac:dyDescent="0.25">
      <c r="B186" s="410" t="s">
        <v>524</v>
      </c>
      <c r="C186" s="146">
        <f>Altre!C47</f>
        <v>0</v>
      </c>
    </row>
    <row r="187" spans="2:10" x14ac:dyDescent="0.25">
      <c r="B187" s="410" t="s">
        <v>525</v>
      </c>
      <c r="C187" s="146">
        <f>F110+F114+F118</f>
        <v>12682.730000000003</v>
      </c>
    </row>
    <row r="188" spans="2:10" x14ac:dyDescent="0.25">
      <c r="B188" s="409" t="s">
        <v>519</v>
      </c>
      <c r="C188" s="411">
        <f>C183-C184-C185+C186-C187</f>
        <v>-1.4479155652225018E-9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selection activeCell="F25" sqref="F25"/>
    </sheetView>
  </sheetViews>
  <sheetFormatPr defaultRowHeight="12.75" x14ac:dyDescent="0.2"/>
  <cols>
    <col min="1" max="1" width="22.140625" style="335" bestFit="1" customWidth="1"/>
    <col min="2" max="2" width="10.140625" style="335" bestFit="1" customWidth="1"/>
    <col min="3" max="3" width="10.140625" style="335" customWidth="1"/>
    <col min="4" max="4" width="14.5703125" style="335" customWidth="1"/>
    <col min="5" max="5" width="11.140625" style="335" customWidth="1"/>
    <col min="6" max="6" width="14.5703125" style="335" customWidth="1"/>
    <col min="7" max="7" width="7.7109375" style="335" bestFit="1" customWidth="1"/>
    <col min="8" max="8" width="10.42578125" style="335" bestFit="1" customWidth="1"/>
    <col min="9" max="9" width="9.140625" style="335"/>
    <col min="10" max="10" width="14.5703125" style="335" customWidth="1"/>
    <col min="11" max="11" width="11.140625" style="335" bestFit="1" customWidth="1"/>
    <col min="12" max="12" width="14.5703125" style="335" customWidth="1"/>
    <col min="13" max="16384" width="9.140625" style="335"/>
  </cols>
  <sheetData>
    <row r="1" spans="1:12" s="332" customFormat="1" ht="15.75" x14ac:dyDescent="0.25">
      <c r="A1" s="350" t="s">
        <v>484</v>
      </c>
      <c r="F1" s="333"/>
      <c r="G1" s="333"/>
      <c r="H1" s="333"/>
      <c r="I1" s="333"/>
      <c r="J1" s="333"/>
      <c r="K1" s="333"/>
      <c r="L1" s="333"/>
    </row>
    <row r="2" spans="1:12" s="332" customFormat="1" ht="7.5" customHeight="1" x14ac:dyDescent="0.25">
      <c r="A2" s="350"/>
      <c r="F2" s="333"/>
      <c r="G2" s="333"/>
      <c r="H2" s="333"/>
      <c r="I2" s="333"/>
      <c r="J2" s="333"/>
      <c r="K2" s="333"/>
      <c r="L2" s="333"/>
    </row>
    <row r="3" spans="1:12" s="332" customFormat="1" x14ac:dyDescent="0.2">
      <c r="A3" s="350" t="s">
        <v>485</v>
      </c>
      <c r="F3" s="334"/>
      <c r="G3" s="334"/>
      <c r="H3" s="334"/>
      <c r="I3" s="334"/>
      <c r="J3" s="334"/>
      <c r="K3" s="334"/>
    </row>
    <row r="4" spans="1:12" s="332" customFormat="1" x14ac:dyDescent="0.2">
      <c r="A4" s="350"/>
      <c r="F4" s="334"/>
      <c r="G4" s="334"/>
      <c r="H4" s="334"/>
      <c r="I4" s="334"/>
      <c r="J4" s="334"/>
      <c r="K4" s="334"/>
    </row>
    <row r="5" spans="1:12" ht="13.5" thickBot="1" x14ac:dyDescent="0.25"/>
    <row r="6" spans="1:12" ht="13.5" thickBot="1" x14ac:dyDescent="0.25">
      <c r="D6" s="336" t="s">
        <v>210</v>
      </c>
      <c r="E6" s="337"/>
      <c r="F6" s="338"/>
      <c r="G6" s="338"/>
      <c r="H6" s="338"/>
      <c r="I6" s="338"/>
    </row>
    <row r="7" spans="1:12" x14ac:dyDescent="0.2">
      <c r="D7" s="332"/>
      <c r="E7" s="332"/>
      <c r="F7" s="332"/>
      <c r="G7" s="332"/>
      <c r="H7" s="332"/>
      <c r="I7" s="332"/>
    </row>
    <row r="8" spans="1:12" x14ac:dyDescent="0.2">
      <c r="A8" s="352"/>
      <c r="B8" s="352"/>
      <c r="C8" s="352"/>
      <c r="D8" s="355"/>
      <c r="E8" s="358" t="s">
        <v>474</v>
      </c>
      <c r="F8" s="358" t="s">
        <v>475</v>
      </c>
      <c r="G8" s="367"/>
      <c r="H8" s="367"/>
      <c r="I8" s="359"/>
    </row>
    <row r="9" spans="1:12" x14ac:dyDescent="0.2">
      <c r="A9" s="353"/>
      <c r="B9" s="353"/>
      <c r="C9" s="353"/>
      <c r="D9" s="368" t="s">
        <v>706</v>
      </c>
      <c r="E9" s="356" t="s">
        <v>476</v>
      </c>
      <c r="F9" s="356" t="s">
        <v>477</v>
      </c>
      <c r="G9" s="368"/>
      <c r="H9" s="368" t="s">
        <v>489</v>
      </c>
      <c r="I9" s="360"/>
    </row>
    <row r="10" spans="1:12" x14ac:dyDescent="0.2">
      <c r="A10" s="353" t="s">
        <v>478</v>
      </c>
      <c r="B10" s="353" t="s">
        <v>479</v>
      </c>
      <c r="C10" s="353" t="s">
        <v>480</v>
      </c>
      <c r="D10" s="356" t="s">
        <v>481</v>
      </c>
      <c r="E10" s="368" t="s">
        <v>707</v>
      </c>
      <c r="F10" s="356" t="s">
        <v>482</v>
      </c>
      <c r="G10" s="368" t="s">
        <v>488</v>
      </c>
      <c r="H10" s="368" t="s">
        <v>490</v>
      </c>
      <c r="I10" s="360" t="s">
        <v>396</v>
      </c>
    </row>
    <row r="11" spans="1:12" x14ac:dyDescent="0.2">
      <c r="A11" s="354"/>
      <c r="B11" s="354"/>
      <c r="C11" s="354"/>
      <c r="D11" s="357"/>
      <c r="E11" s="357"/>
      <c r="F11" s="357"/>
      <c r="G11" s="357"/>
      <c r="H11" s="357"/>
      <c r="I11" s="361"/>
    </row>
    <row r="12" spans="1:12" s="332" customFormat="1" x14ac:dyDescent="0.2">
      <c r="A12" s="334" t="s">
        <v>1010</v>
      </c>
      <c r="B12" s="339">
        <v>45751</v>
      </c>
      <c r="C12" s="339">
        <v>46116</v>
      </c>
      <c r="D12" s="340">
        <v>780</v>
      </c>
      <c r="E12" s="332">
        <v>94</v>
      </c>
      <c r="F12" s="340">
        <f>ROUND(((D12/365)*E12),2)</f>
        <v>200.88</v>
      </c>
      <c r="G12" s="340"/>
      <c r="H12" s="340"/>
    </row>
    <row r="13" spans="1:12" s="332" customFormat="1" x14ac:dyDescent="0.2">
      <c r="A13" s="334" t="s">
        <v>1011</v>
      </c>
      <c r="B13" s="339">
        <v>45853</v>
      </c>
      <c r="C13" s="339">
        <v>46218</v>
      </c>
      <c r="D13" s="341">
        <v>829.77</v>
      </c>
      <c r="E13" s="342">
        <v>196</v>
      </c>
      <c r="F13" s="340">
        <f t="shared" ref="F13:F14" si="0">ROUND(((D13/365)*E13),2)</f>
        <v>445.58</v>
      </c>
      <c r="G13" s="340"/>
      <c r="H13" s="340"/>
    </row>
    <row r="14" spans="1:12" s="332" customFormat="1" x14ac:dyDescent="0.2">
      <c r="A14" s="334" t="s">
        <v>1012</v>
      </c>
      <c r="B14" s="339">
        <v>45946</v>
      </c>
      <c r="C14" s="339">
        <v>46311</v>
      </c>
      <c r="D14" s="341">
        <v>525.33000000000004</v>
      </c>
      <c r="E14" s="342">
        <v>289</v>
      </c>
      <c r="F14" s="340">
        <f t="shared" si="0"/>
        <v>415.95</v>
      </c>
      <c r="G14" s="340"/>
      <c r="H14" s="340"/>
    </row>
    <row r="15" spans="1:12" x14ac:dyDescent="0.2">
      <c r="D15" s="343"/>
    </row>
    <row r="16" spans="1:12" x14ac:dyDescent="0.2">
      <c r="D16" s="343"/>
      <c r="E16" s="351" t="s">
        <v>486</v>
      </c>
      <c r="F16" s="344">
        <f>SUM(F12:F15)</f>
        <v>1062.4100000000001</v>
      </c>
      <c r="G16" s="344"/>
      <c r="H16" s="344"/>
    </row>
    <row r="17" spans="1:9" x14ac:dyDescent="0.2">
      <c r="D17" s="343"/>
    </row>
    <row r="18" spans="1:9" x14ac:dyDescent="0.2">
      <c r="D18" s="397"/>
      <c r="E18" s="398" t="s">
        <v>506</v>
      </c>
      <c r="F18" s="397"/>
    </row>
    <row r="19" spans="1:9" x14ac:dyDescent="0.2">
      <c r="D19" s="399" t="s">
        <v>273</v>
      </c>
      <c r="E19" s="400" t="s">
        <v>507</v>
      </c>
      <c r="F19" s="397" t="s">
        <v>449</v>
      </c>
    </row>
    <row r="20" spans="1:9" x14ac:dyDescent="0.2">
      <c r="D20" s="401">
        <v>0</v>
      </c>
      <c r="E20" s="400" t="s">
        <v>365</v>
      </c>
      <c r="F20" s="401">
        <v>0</v>
      </c>
    </row>
    <row r="21" spans="1:9" x14ac:dyDescent="0.2">
      <c r="D21" s="401">
        <v>0</v>
      </c>
      <c r="E21" s="400" t="s">
        <v>366</v>
      </c>
      <c r="F21" s="401">
        <v>0</v>
      </c>
    </row>
    <row r="22" spans="1:9" x14ac:dyDescent="0.2">
      <c r="D22" s="401">
        <v>0</v>
      </c>
      <c r="E22" s="400" t="s">
        <v>367</v>
      </c>
      <c r="F22" s="401">
        <v>0</v>
      </c>
    </row>
    <row r="23" spans="1:9" x14ac:dyDescent="0.2">
      <c r="D23" s="401">
        <v>0</v>
      </c>
      <c r="E23" s="400" t="s">
        <v>368</v>
      </c>
      <c r="F23" s="401">
        <v>0</v>
      </c>
    </row>
    <row r="24" spans="1:9" x14ac:dyDescent="0.2">
      <c r="D24" s="401">
        <v>851.4</v>
      </c>
      <c r="E24" s="400" t="s">
        <v>369</v>
      </c>
      <c r="F24" s="401">
        <v>1062.4100000000001</v>
      </c>
    </row>
    <row r="25" spans="1:9" x14ac:dyDescent="0.2">
      <c r="D25" s="402">
        <f>SUM(D20:D24)</f>
        <v>851.4</v>
      </c>
      <c r="E25" s="403" t="s">
        <v>508</v>
      </c>
      <c r="F25" s="404">
        <f>SUM(F20:F24)</f>
        <v>1062.4100000000001</v>
      </c>
    </row>
    <row r="26" spans="1:9" x14ac:dyDescent="0.2">
      <c r="D26" s="343"/>
    </row>
    <row r="27" spans="1:9" x14ac:dyDescent="0.2">
      <c r="D27" s="343"/>
    </row>
    <row r="28" spans="1:9" ht="13.5" thickBot="1" x14ac:dyDescent="0.25">
      <c r="D28" s="343"/>
    </row>
    <row r="29" spans="1:9" ht="13.5" thickBot="1" x14ac:dyDescent="0.25">
      <c r="A29" s="338"/>
      <c r="B29" s="345"/>
      <c r="C29" s="338"/>
      <c r="D29" s="336" t="s">
        <v>212</v>
      </c>
      <c r="E29" s="346"/>
      <c r="F29" s="345"/>
      <c r="G29" s="345"/>
      <c r="H29" s="345"/>
    </row>
    <row r="30" spans="1:9" x14ac:dyDescent="0.2">
      <c r="A30" s="332"/>
      <c r="B30" s="332"/>
      <c r="C30" s="332"/>
      <c r="D30" s="332"/>
    </row>
    <row r="31" spans="1:9" x14ac:dyDescent="0.2">
      <c r="A31" s="362"/>
      <c r="B31" s="362"/>
      <c r="C31" s="362"/>
      <c r="D31" s="359"/>
      <c r="E31" s="363" t="s">
        <v>474</v>
      </c>
      <c r="F31" s="363" t="s">
        <v>475</v>
      </c>
      <c r="G31" s="363"/>
      <c r="H31" s="363"/>
      <c r="I31" s="359"/>
    </row>
    <row r="32" spans="1:9" x14ac:dyDescent="0.2">
      <c r="A32" s="364"/>
      <c r="B32" s="364"/>
      <c r="C32" s="364"/>
      <c r="D32" s="365" t="s">
        <v>708</v>
      </c>
      <c r="E32" s="360" t="s">
        <v>476</v>
      </c>
      <c r="F32" s="360" t="s">
        <v>477</v>
      </c>
      <c r="G32" s="368"/>
      <c r="H32" s="368" t="s">
        <v>489</v>
      </c>
      <c r="I32" s="360"/>
    </row>
    <row r="33" spans="1:9" x14ac:dyDescent="0.2">
      <c r="A33" s="364" t="s">
        <v>478</v>
      </c>
      <c r="B33" s="364" t="s">
        <v>479</v>
      </c>
      <c r="C33" s="364" t="s">
        <v>480</v>
      </c>
      <c r="D33" s="360" t="s">
        <v>481</v>
      </c>
      <c r="E33" s="365" t="s">
        <v>707</v>
      </c>
      <c r="F33" s="365" t="s">
        <v>483</v>
      </c>
      <c r="G33" s="368" t="s">
        <v>488</v>
      </c>
      <c r="H33" s="368" t="s">
        <v>490</v>
      </c>
      <c r="I33" s="360" t="s">
        <v>396</v>
      </c>
    </row>
    <row r="34" spans="1:9" x14ac:dyDescent="0.2">
      <c r="A34" s="366"/>
      <c r="B34" s="366"/>
      <c r="C34" s="366"/>
      <c r="D34" s="361"/>
      <c r="E34" s="361"/>
      <c r="F34" s="361"/>
      <c r="G34" s="361"/>
      <c r="H34" s="361"/>
      <c r="I34" s="361"/>
    </row>
    <row r="35" spans="1:9" ht="15" x14ac:dyDescent="0.25">
      <c r="A35" s="332"/>
      <c r="B35" s="347"/>
      <c r="C35" s="332"/>
      <c r="D35" s="340"/>
      <c r="F35" s="340">
        <f t="shared" ref="F35:F39" si="1">ROUND(((D35/365)*E35),2)</f>
        <v>0</v>
      </c>
      <c r="G35" s="340"/>
      <c r="H35" s="340"/>
    </row>
    <row r="36" spans="1:9" ht="15" x14ac:dyDescent="0.25">
      <c r="A36" s="332"/>
      <c r="B36" s="348"/>
      <c r="C36" s="332"/>
      <c r="D36" s="340"/>
      <c r="F36" s="340">
        <f t="shared" si="1"/>
        <v>0</v>
      </c>
      <c r="G36" s="340"/>
      <c r="H36" s="340"/>
    </row>
    <row r="37" spans="1:9" ht="15" x14ac:dyDescent="0.25">
      <c r="A37" s="332"/>
      <c r="B37" s="348"/>
      <c r="C37" s="332"/>
      <c r="D37" s="340"/>
      <c r="F37" s="340">
        <f t="shared" si="1"/>
        <v>0</v>
      </c>
      <c r="G37" s="340"/>
      <c r="H37" s="340"/>
    </row>
    <row r="38" spans="1:9" ht="15" x14ac:dyDescent="0.25">
      <c r="A38" s="332"/>
      <c r="B38" s="348"/>
      <c r="C38" s="332"/>
      <c r="D38" s="340"/>
      <c r="F38" s="340">
        <f t="shared" si="1"/>
        <v>0</v>
      </c>
      <c r="G38" s="340"/>
      <c r="H38" s="340"/>
    </row>
    <row r="39" spans="1:9" x14ac:dyDescent="0.2">
      <c r="A39" s="332"/>
      <c r="B39" s="332"/>
      <c r="C39" s="332"/>
      <c r="D39" s="332"/>
      <c r="F39" s="340">
        <f t="shared" si="1"/>
        <v>0</v>
      </c>
      <c r="G39" s="340"/>
      <c r="H39" s="340"/>
    </row>
    <row r="40" spans="1:9" x14ac:dyDescent="0.2">
      <c r="A40" s="332"/>
      <c r="B40" s="332"/>
      <c r="C40" s="332"/>
      <c r="D40" s="349"/>
    </row>
    <row r="41" spans="1:9" x14ac:dyDescent="0.2">
      <c r="E41" s="351" t="s">
        <v>487</v>
      </c>
      <c r="F41" s="344">
        <f>SUM(F35:F40)</f>
        <v>0</v>
      </c>
      <c r="G41" s="344"/>
      <c r="H41" s="344"/>
    </row>
    <row r="43" spans="1:9" x14ac:dyDescent="0.2">
      <c r="D43" s="397"/>
      <c r="E43" s="398" t="s">
        <v>509</v>
      </c>
      <c r="F43" s="397"/>
    </row>
    <row r="44" spans="1:9" x14ac:dyDescent="0.2">
      <c r="D44" s="399" t="s">
        <v>273</v>
      </c>
      <c r="E44" s="400" t="s">
        <v>507</v>
      </c>
      <c r="F44" s="397" t="s">
        <v>449</v>
      </c>
    </row>
    <row r="45" spans="1:9" x14ac:dyDescent="0.2">
      <c r="D45" s="401">
        <f>Altre!C99</f>
        <v>0</v>
      </c>
      <c r="E45" s="400" t="s">
        <v>551</v>
      </c>
      <c r="F45" s="401">
        <f>Altre!D99</f>
        <v>0</v>
      </c>
      <c r="G45" s="457"/>
    </row>
    <row r="46" spans="1:9" x14ac:dyDescent="0.2">
      <c r="D46" s="401">
        <v>0</v>
      </c>
      <c r="E46" s="400" t="s">
        <v>547</v>
      </c>
      <c r="F46" s="401">
        <v>0</v>
      </c>
    </row>
    <row r="47" spans="1:9" x14ac:dyDescent="0.2">
      <c r="D47" s="401">
        <v>0</v>
      </c>
      <c r="E47" s="400" t="s">
        <v>548</v>
      </c>
      <c r="F47" s="401">
        <v>0</v>
      </c>
    </row>
    <row r="48" spans="1:9" x14ac:dyDescent="0.2">
      <c r="D48" s="401">
        <v>0</v>
      </c>
      <c r="E48" s="400" t="s">
        <v>549</v>
      </c>
      <c r="F48" s="401">
        <v>0</v>
      </c>
    </row>
    <row r="49" spans="4:6" x14ac:dyDescent="0.2">
      <c r="D49" s="401">
        <v>0</v>
      </c>
      <c r="E49" s="400" t="s">
        <v>550</v>
      </c>
      <c r="F49" s="401">
        <v>0</v>
      </c>
    </row>
    <row r="50" spans="4:6" x14ac:dyDescent="0.2">
      <c r="D50" s="402">
        <f>SUM(D45:D49)</f>
        <v>0</v>
      </c>
      <c r="E50" s="403" t="s">
        <v>508</v>
      </c>
      <c r="F50" s="404">
        <f>SUM(F45:F49)</f>
        <v>0</v>
      </c>
    </row>
  </sheetData>
  <printOptions horizontalCentered="1" verticalCentered="1" gridLines="1"/>
  <pageMargins left="0" right="0" top="0" bottom="0" header="0.51181102362204722" footer="0.51181102362204722"/>
  <pageSetup paperSize="9" scale="8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opLeftCell="A2" workbookViewId="0">
      <selection activeCell="F5" sqref="F5"/>
    </sheetView>
  </sheetViews>
  <sheetFormatPr defaultRowHeight="15" x14ac:dyDescent="0.25"/>
  <cols>
    <col min="1" max="1" width="23.28515625" bestFit="1" customWidth="1"/>
    <col min="2" max="2" width="11.5703125" style="64" bestFit="1" customWidth="1"/>
    <col min="3" max="3" width="24" bestFit="1" customWidth="1"/>
    <col min="4" max="4" width="11.5703125" style="64" bestFit="1" customWidth="1"/>
    <col min="5" max="5" width="22.85546875" bestFit="1" customWidth="1"/>
    <col min="6" max="6" width="13.28515625" customWidth="1"/>
  </cols>
  <sheetData>
    <row r="2" spans="1:6" x14ac:dyDescent="0.25">
      <c r="A2" t="s">
        <v>385</v>
      </c>
      <c r="B2" s="64">
        <v>690051.16</v>
      </c>
      <c r="C2" t="s">
        <v>386</v>
      </c>
      <c r="D2" s="64">
        <v>322720.28000000003</v>
      </c>
    </row>
    <row r="3" spans="1:6" x14ac:dyDescent="0.25">
      <c r="A3" t="s">
        <v>387</v>
      </c>
      <c r="B3" s="64">
        <v>293005.84999999998</v>
      </c>
      <c r="C3" t="s">
        <v>388</v>
      </c>
      <c r="D3" s="64">
        <v>197496.6</v>
      </c>
      <c r="E3" t="s">
        <v>270</v>
      </c>
      <c r="F3" s="240">
        <f>B3+D3</f>
        <v>490502.44999999995</v>
      </c>
    </row>
    <row r="4" spans="1:6" x14ac:dyDescent="0.25">
      <c r="A4" t="s">
        <v>389</v>
      </c>
      <c r="B4" s="64">
        <v>0</v>
      </c>
    </row>
    <row r="5" spans="1:6" x14ac:dyDescent="0.25">
      <c r="A5" t="s">
        <v>390</v>
      </c>
      <c r="B5" s="151">
        <f>B2-B3-B4</f>
        <v>397045.31000000006</v>
      </c>
      <c r="C5" t="s">
        <v>391</v>
      </c>
      <c r="D5" s="151">
        <f>D2-D3</f>
        <v>125223.68000000002</v>
      </c>
      <c r="E5" t="s">
        <v>392</v>
      </c>
      <c r="F5" s="240">
        <f>B5+D5</f>
        <v>522268.99000000011</v>
      </c>
    </row>
    <row r="7" spans="1:6" x14ac:dyDescent="0.25">
      <c r="A7" s="285" t="s">
        <v>434</v>
      </c>
      <c r="B7" s="286"/>
      <c r="C7" s="287"/>
      <c r="D7" s="286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48"/>
  <sheetViews>
    <sheetView topLeftCell="D1" zoomScale="75" zoomScaleNormal="75" workbookViewId="0">
      <selection activeCell="C14" sqref="C14"/>
    </sheetView>
  </sheetViews>
  <sheetFormatPr defaultRowHeight="15" x14ac:dyDescent="0.25"/>
  <cols>
    <col min="1" max="1" width="13.28515625" bestFit="1" customWidth="1"/>
    <col min="2" max="18" width="13.28515625" customWidth="1"/>
    <col min="19" max="19" width="20.28515625" customWidth="1"/>
    <col min="20" max="20" width="21.85546875" bestFit="1" customWidth="1"/>
  </cols>
  <sheetData>
    <row r="1" spans="1:30" s="72" customFormat="1" ht="18.75" x14ac:dyDescent="0.3">
      <c r="A1" s="71"/>
      <c r="B1" s="71"/>
      <c r="C1" s="71"/>
      <c r="D1" s="114" t="s">
        <v>255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115"/>
      <c r="V1" s="71"/>
      <c r="W1" s="71"/>
      <c r="X1" s="71"/>
      <c r="Y1" s="71"/>
      <c r="Z1" s="71"/>
      <c r="AA1" s="71"/>
      <c r="AB1" s="71"/>
      <c r="AC1" s="71"/>
      <c r="AD1" s="71"/>
    </row>
    <row r="2" spans="1:30" s="72" customForma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115"/>
      <c r="V2" s="71"/>
      <c r="W2" s="71"/>
      <c r="X2" s="71"/>
      <c r="Y2" s="71"/>
      <c r="Z2" s="71"/>
      <c r="AA2" s="71"/>
      <c r="AB2" s="71"/>
      <c r="AC2" s="71"/>
      <c r="AD2" s="71"/>
    </row>
    <row r="3" spans="1:30" x14ac:dyDescent="0.25">
      <c r="A3" s="116" t="s">
        <v>225</v>
      </c>
      <c r="B3" s="117"/>
      <c r="C3" s="117"/>
      <c r="D3" s="117"/>
      <c r="E3" s="116" t="s">
        <v>593</v>
      </c>
      <c r="F3" s="118"/>
      <c r="G3" s="118"/>
      <c r="H3" s="118"/>
      <c r="I3" s="119" t="s">
        <v>226</v>
      </c>
      <c r="J3" s="116" t="s">
        <v>227</v>
      </c>
      <c r="K3" s="120"/>
      <c r="L3" s="121" t="s">
        <v>228</v>
      </c>
      <c r="M3" s="118"/>
      <c r="N3" s="118"/>
      <c r="O3" s="118"/>
      <c r="P3" s="122"/>
      <c r="Q3" s="117" t="s">
        <v>229</v>
      </c>
      <c r="R3" s="119" t="s">
        <v>230</v>
      </c>
      <c r="U3" s="123"/>
    </row>
    <row r="4" spans="1:30" x14ac:dyDescent="0.25">
      <c r="A4" s="124" t="s">
        <v>18</v>
      </c>
      <c r="B4" s="72" t="s">
        <v>20</v>
      </c>
      <c r="C4" s="72" t="s">
        <v>22</v>
      </c>
      <c r="D4" s="72" t="s">
        <v>231</v>
      </c>
      <c r="E4" s="124" t="s">
        <v>18</v>
      </c>
      <c r="F4" s="125" t="s">
        <v>20</v>
      </c>
      <c r="G4" s="125" t="s">
        <v>594</v>
      </c>
      <c r="H4" s="125" t="s">
        <v>22</v>
      </c>
      <c r="I4" s="126" t="s">
        <v>232</v>
      </c>
      <c r="J4" s="124" t="s">
        <v>231</v>
      </c>
      <c r="K4" s="127" t="s">
        <v>233</v>
      </c>
      <c r="L4" s="125" t="s">
        <v>234</v>
      </c>
      <c r="M4" s="125" t="s">
        <v>235</v>
      </c>
      <c r="N4" s="125" t="s">
        <v>236</v>
      </c>
      <c r="O4" s="125" t="s">
        <v>237</v>
      </c>
      <c r="P4" s="128" t="s">
        <v>231</v>
      </c>
      <c r="Q4" s="125" t="s">
        <v>81</v>
      </c>
      <c r="R4" s="129" t="s">
        <v>238</v>
      </c>
      <c r="U4" s="123"/>
    </row>
    <row r="5" spans="1:30" s="72" customFormat="1" x14ac:dyDescent="0.25">
      <c r="A5" s="130"/>
      <c r="B5" s="131"/>
      <c r="C5" s="131"/>
      <c r="D5" s="131"/>
      <c r="E5" s="130" t="s">
        <v>239</v>
      </c>
      <c r="F5" s="132" t="s">
        <v>239</v>
      </c>
      <c r="G5" s="132" t="s">
        <v>595</v>
      </c>
      <c r="H5" s="132"/>
      <c r="I5" s="133"/>
      <c r="J5" s="130" t="s">
        <v>240</v>
      </c>
      <c r="K5" s="134"/>
      <c r="L5" s="132" t="s">
        <v>241</v>
      </c>
      <c r="M5" s="132" t="s">
        <v>242</v>
      </c>
      <c r="N5" s="132" t="s">
        <v>243</v>
      </c>
      <c r="O5" s="132" t="s">
        <v>244</v>
      </c>
      <c r="P5" s="135" t="s">
        <v>245</v>
      </c>
      <c r="Q5" s="130"/>
      <c r="R5" s="136"/>
      <c r="S5" s="125"/>
    </row>
    <row r="6" spans="1:30" x14ac:dyDescent="0.25">
      <c r="A6" s="137"/>
      <c r="B6" s="64"/>
      <c r="C6" s="64"/>
      <c r="D6" s="64"/>
      <c r="E6" s="137"/>
      <c r="F6" s="64"/>
      <c r="G6" s="64"/>
      <c r="H6" s="64"/>
      <c r="I6" s="138"/>
      <c r="J6" s="137"/>
      <c r="K6" s="139"/>
      <c r="L6" s="64"/>
      <c r="M6" s="64"/>
      <c r="N6" s="64"/>
      <c r="O6" s="64"/>
      <c r="P6" s="139"/>
      <c r="Q6" s="64"/>
      <c r="R6" s="138"/>
      <c r="U6" s="123"/>
    </row>
    <row r="7" spans="1:30" x14ac:dyDescent="0.25">
      <c r="A7" s="137"/>
      <c r="B7" s="64"/>
      <c r="C7" s="510">
        <v>1769.15</v>
      </c>
      <c r="D7" s="510">
        <v>1921.5</v>
      </c>
      <c r="E7" s="137"/>
      <c r="F7" s="510">
        <v>893.04</v>
      </c>
      <c r="G7" s="64"/>
      <c r="H7" s="64"/>
      <c r="I7" s="512">
        <v>3050</v>
      </c>
      <c r="J7" s="511">
        <v>1522.56</v>
      </c>
      <c r="K7" s="139"/>
      <c r="L7" s="510">
        <v>534.36</v>
      </c>
      <c r="M7" s="64"/>
      <c r="N7" s="510">
        <v>790.56</v>
      </c>
      <c r="O7" s="64"/>
      <c r="P7" s="139"/>
      <c r="Q7" s="64"/>
      <c r="R7" s="138"/>
      <c r="S7" s="64"/>
      <c r="T7" s="64"/>
      <c r="U7" s="140"/>
      <c r="V7" s="64"/>
      <c r="W7" s="64"/>
      <c r="X7" s="64"/>
      <c r="Y7" s="64"/>
      <c r="Z7" s="64"/>
      <c r="AA7" s="64"/>
      <c r="AB7" s="64"/>
      <c r="AC7" s="64"/>
      <c r="AD7" s="64"/>
    </row>
    <row r="8" spans="1:30" x14ac:dyDescent="0.25">
      <c r="A8" s="137"/>
      <c r="B8" s="64"/>
      <c r="C8" s="510">
        <v>1767.78</v>
      </c>
      <c r="D8" s="64"/>
      <c r="E8" s="137"/>
      <c r="F8" s="510">
        <v>1037</v>
      </c>
      <c r="G8" s="64"/>
      <c r="H8" s="64"/>
      <c r="I8" s="512">
        <v>1601.25</v>
      </c>
      <c r="J8" s="511">
        <v>1522.56</v>
      </c>
      <c r="K8" s="139"/>
      <c r="L8" s="510">
        <v>4684.8</v>
      </c>
      <c r="M8" s="64"/>
      <c r="N8" s="510">
        <v>5493.66</v>
      </c>
      <c r="O8" s="64"/>
      <c r="P8" s="139"/>
      <c r="Q8" s="64"/>
      <c r="R8" s="138"/>
      <c r="S8" s="64"/>
      <c r="T8" s="64"/>
      <c r="U8" s="140"/>
      <c r="V8" s="64"/>
      <c r="W8" s="64"/>
      <c r="X8" s="64"/>
      <c r="Y8" s="64"/>
      <c r="Z8" s="64"/>
      <c r="AA8" s="64"/>
      <c r="AB8" s="64"/>
      <c r="AC8" s="64"/>
      <c r="AD8" s="64"/>
    </row>
    <row r="9" spans="1:30" x14ac:dyDescent="0.25">
      <c r="A9" s="137"/>
      <c r="B9" s="64"/>
      <c r="C9" s="510">
        <v>21960</v>
      </c>
      <c r="D9" s="64"/>
      <c r="E9" s="137"/>
      <c r="F9" s="64"/>
      <c r="G9" s="64"/>
      <c r="H9" s="64"/>
      <c r="I9" s="512">
        <v>6090.24</v>
      </c>
      <c r="J9" s="511">
        <v>1180.48</v>
      </c>
      <c r="K9" s="139"/>
      <c r="L9" s="64"/>
      <c r="M9" s="64"/>
      <c r="N9" s="510">
        <v>562.41999999999996</v>
      </c>
      <c r="O9" s="64"/>
      <c r="P9" s="139"/>
      <c r="Q9" s="64"/>
      <c r="R9" s="138"/>
      <c r="S9" s="64"/>
      <c r="T9" s="64"/>
      <c r="U9" s="140"/>
      <c r="V9" s="64"/>
      <c r="W9" s="64"/>
      <c r="X9" s="64"/>
      <c r="Y9" s="64"/>
      <c r="Z9" s="64"/>
      <c r="AA9" s="64"/>
      <c r="AB9" s="64"/>
      <c r="AC9" s="64"/>
      <c r="AD9" s="64"/>
    </row>
    <row r="10" spans="1:30" x14ac:dyDescent="0.25">
      <c r="A10" s="137"/>
      <c r="B10" s="64"/>
      <c r="C10" s="510">
        <v>658.8</v>
      </c>
      <c r="D10" s="64"/>
      <c r="E10" s="137"/>
      <c r="F10" s="64"/>
      <c r="G10" s="64"/>
      <c r="H10" s="64"/>
      <c r="I10" s="512">
        <v>4440.8</v>
      </c>
      <c r="J10" s="137"/>
      <c r="K10" s="139"/>
      <c r="L10" s="64"/>
      <c r="M10" s="64"/>
      <c r="N10" s="64"/>
      <c r="O10" s="64"/>
      <c r="P10" s="139"/>
      <c r="Q10" s="64"/>
      <c r="R10" s="138"/>
      <c r="S10" s="64"/>
      <c r="T10" s="64"/>
      <c r="U10" s="140"/>
      <c r="V10" s="64"/>
      <c r="W10" s="64"/>
      <c r="X10" s="64"/>
      <c r="Y10" s="64"/>
      <c r="Z10" s="64"/>
      <c r="AA10" s="64"/>
      <c r="AB10" s="64"/>
      <c r="AC10" s="64"/>
      <c r="AD10" s="64"/>
    </row>
    <row r="11" spans="1:30" x14ac:dyDescent="0.25">
      <c r="A11" s="137"/>
      <c r="B11" s="64"/>
      <c r="C11" s="510">
        <v>1153.27</v>
      </c>
      <c r="D11" s="64"/>
      <c r="E11" s="137"/>
      <c r="F11" s="64"/>
      <c r="G11" s="64"/>
      <c r="H11" s="64"/>
      <c r="I11" s="138"/>
      <c r="J11" s="137"/>
      <c r="K11" s="139"/>
      <c r="L11" s="64"/>
      <c r="M11" s="64"/>
      <c r="N11" s="64"/>
      <c r="O11" s="64"/>
      <c r="P11" s="139"/>
      <c r="Q11" s="64"/>
      <c r="R11" s="138"/>
      <c r="S11" s="64"/>
      <c r="T11" s="64"/>
      <c r="U11" s="140"/>
      <c r="V11" s="64"/>
      <c r="W11" s="64"/>
      <c r="X11" s="64"/>
      <c r="Y11" s="64"/>
      <c r="Z11" s="64"/>
      <c r="AA11" s="64"/>
      <c r="AB11" s="64"/>
      <c r="AC11" s="64"/>
      <c r="AD11" s="64"/>
    </row>
    <row r="12" spans="1:30" x14ac:dyDescent="0.25">
      <c r="A12" s="137"/>
      <c r="B12" s="64"/>
      <c r="C12" s="510">
        <v>13403.25</v>
      </c>
      <c r="D12" s="64"/>
      <c r="E12" s="137"/>
      <c r="F12" s="64"/>
      <c r="G12" s="64"/>
      <c r="H12" s="64"/>
      <c r="I12" s="138"/>
      <c r="J12" s="137"/>
      <c r="K12" s="139"/>
      <c r="L12" s="64"/>
      <c r="M12" s="64"/>
      <c r="N12" s="64"/>
      <c r="O12" s="64"/>
      <c r="P12" s="139"/>
      <c r="Q12" s="64"/>
      <c r="R12" s="138"/>
      <c r="S12" s="64"/>
      <c r="T12" s="64"/>
      <c r="U12" s="140"/>
      <c r="V12" s="64"/>
      <c r="W12" s="64"/>
      <c r="X12" s="64"/>
      <c r="Y12" s="64"/>
      <c r="Z12" s="64"/>
      <c r="AA12" s="64"/>
      <c r="AB12" s="64"/>
      <c r="AC12" s="64"/>
      <c r="AD12" s="64"/>
    </row>
    <row r="13" spans="1:30" x14ac:dyDescent="0.25">
      <c r="A13" s="137"/>
      <c r="B13" s="64"/>
      <c r="C13" s="510">
        <v>1459.12</v>
      </c>
      <c r="D13" s="64"/>
      <c r="E13" s="137"/>
      <c r="F13" s="64"/>
      <c r="G13" s="64"/>
      <c r="H13" s="64"/>
      <c r="I13" s="138"/>
      <c r="J13" s="137"/>
      <c r="K13" s="139"/>
      <c r="L13" s="64"/>
      <c r="M13" s="64"/>
      <c r="N13" s="64"/>
      <c r="O13" s="64"/>
      <c r="P13" s="139"/>
      <c r="Q13" s="64"/>
      <c r="R13" s="138"/>
      <c r="S13" s="64"/>
      <c r="T13" s="64"/>
      <c r="U13" s="140"/>
      <c r="V13" s="64"/>
      <c r="W13" s="64"/>
      <c r="X13" s="64"/>
      <c r="Y13" s="64"/>
      <c r="Z13" s="64"/>
      <c r="AA13" s="64"/>
      <c r="AB13" s="64"/>
      <c r="AC13" s="64"/>
      <c r="AD13" s="64"/>
    </row>
    <row r="14" spans="1:30" x14ac:dyDescent="0.25">
      <c r="A14" s="137"/>
      <c r="B14" s="64"/>
      <c r="C14" s="510">
        <v>120000</v>
      </c>
      <c r="D14" s="64"/>
      <c r="E14" s="137"/>
      <c r="F14" s="64"/>
      <c r="G14" s="64"/>
      <c r="H14" s="64"/>
      <c r="I14" s="138"/>
      <c r="J14" s="137"/>
      <c r="K14" s="139"/>
      <c r="L14" s="64"/>
      <c r="M14" s="64"/>
      <c r="N14" s="64"/>
      <c r="O14" s="64"/>
      <c r="P14" s="139"/>
      <c r="Q14" s="64"/>
      <c r="R14" s="138"/>
      <c r="S14" s="64"/>
      <c r="T14" s="64"/>
      <c r="U14" s="140"/>
      <c r="V14" s="64"/>
      <c r="W14" s="64"/>
      <c r="X14" s="64"/>
      <c r="Y14" s="64"/>
      <c r="Z14" s="64"/>
      <c r="AA14" s="64"/>
      <c r="AB14" s="64"/>
      <c r="AC14" s="64"/>
      <c r="AD14" s="64"/>
    </row>
    <row r="15" spans="1:30" x14ac:dyDescent="0.25">
      <c r="A15" s="137"/>
      <c r="B15" s="64"/>
      <c r="C15" s="64"/>
      <c r="D15" s="64"/>
      <c r="E15" s="137"/>
      <c r="F15" s="64"/>
      <c r="G15" s="64"/>
      <c r="H15" s="64"/>
      <c r="I15" s="138"/>
      <c r="J15" s="137"/>
      <c r="K15" s="139"/>
      <c r="L15" s="64"/>
      <c r="M15" s="64"/>
      <c r="N15" s="64"/>
      <c r="O15" s="64"/>
      <c r="P15" s="139"/>
      <c r="Q15" s="64"/>
      <c r="R15" s="138"/>
      <c r="S15" s="64"/>
      <c r="T15" s="64"/>
      <c r="U15" s="140"/>
      <c r="V15" s="64"/>
      <c r="W15" s="64"/>
      <c r="X15" s="64"/>
      <c r="Y15" s="64"/>
      <c r="Z15" s="64"/>
      <c r="AA15" s="64"/>
      <c r="AB15" s="64"/>
      <c r="AC15" s="64"/>
      <c r="AD15" s="64"/>
    </row>
    <row r="16" spans="1:30" x14ac:dyDescent="0.25">
      <c r="A16" s="137"/>
      <c r="B16" s="64"/>
      <c r="C16" s="64"/>
      <c r="D16" s="64"/>
      <c r="E16" s="137"/>
      <c r="F16" s="64"/>
      <c r="G16" s="64"/>
      <c r="H16" s="64"/>
      <c r="I16" s="138"/>
      <c r="J16" s="137"/>
      <c r="K16" s="139"/>
      <c r="L16" s="64"/>
      <c r="M16" s="64"/>
      <c r="N16" s="64"/>
      <c r="O16" s="64"/>
      <c r="P16" s="139"/>
      <c r="Q16" s="64"/>
      <c r="R16" s="138"/>
      <c r="S16" s="64"/>
      <c r="T16" s="64"/>
      <c r="U16" s="140"/>
      <c r="V16" s="64"/>
      <c r="W16" s="64"/>
      <c r="X16" s="64"/>
      <c r="Y16" s="64"/>
      <c r="Z16" s="64"/>
      <c r="AA16" s="64"/>
      <c r="AB16" s="64"/>
      <c r="AC16" s="64"/>
      <c r="AD16" s="64"/>
    </row>
    <row r="17" spans="1:30" x14ac:dyDescent="0.25">
      <c r="A17" s="137"/>
      <c r="B17" s="64"/>
      <c r="C17" s="64"/>
      <c r="D17" s="64"/>
      <c r="E17" s="137"/>
      <c r="F17" s="64"/>
      <c r="G17" s="64"/>
      <c r="H17" s="64"/>
      <c r="I17" s="138"/>
      <c r="J17" s="137"/>
      <c r="K17" s="139"/>
      <c r="L17" s="64"/>
      <c r="M17" s="64"/>
      <c r="N17" s="64"/>
      <c r="O17" s="64"/>
      <c r="P17" s="139"/>
      <c r="Q17" s="64"/>
      <c r="R17" s="138"/>
      <c r="S17" s="64"/>
      <c r="T17" s="64"/>
      <c r="U17" s="140"/>
      <c r="V17" s="64"/>
      <c r="W17" s="64"/>
      <c r="X17" s="64"/>
      <c r="Y17" s="64"/>
      <c r="Z17" s="64"/>
      <c r="AA17" s="64"/>
      <c r="AB17" s="64"/>
      <c r="AC17" s="64"/>
      <c r="AD17" s="64"/>
    </row>
    <row r="18" spans="1:30" x14ac:dyDescent="0.25">
      <c r="A18" s="137"/>
      <c r="B18" s="64"/>
      <c r="C18" s="64"/>
      <c r="D18" s="64"/>
      <c r="E18" s="137"/>
      <c r="F18" s="64"/>
      <c r="G18" s="64"/>
      <c r="H18" s="64"/>
      <c r="I18" s="138"/>
      <c r="J18" s="137"/>
      <c r="K18" s="139"/>
      <c r="L18" s="64"/>
      <c r="M18" s="64"/>
      <c r="N18" s="64"/>
      <c r="O18" s="64"/>
      <c r="P18" s="139"/>
      <c r="Q18" s="64"/>
      <c r="R18" s="138"/>
      <c r="S18" s="64"/>
      <c r="T18" s="64"/>
      <c r="U18" s="140"/>
      <c r="V18" s="64"/>
      <c r="W18" s="64"/>
      <c r="X18" s="64"/>
      <c r="Y18" s="64"/>
      <c r="Z18" s="64"/>
      <c r="AA18" s="64"/>
      <c r="AB18" s="64"/>
      <c r="AC18" s="64"/>
      <c r="AD18" s="64"/>
    </row>
    <row r="19" spans="1:30" x14ac:dyDescent="0.25">
      <c r="A19" s="137"/>
      <c r="B19" s="64"/>
      <c r="C19" s="64"/>
      <c r="D19" s="64"/>
      <c r="E19" s="137"/>
      <c r="F19" s="64"/>
      <c r="G19" s="64"/>
      <c r="H19" s="64"/>
      <c r="I19" s="138"/>
      <c r="J19" s="137"/>
      <c r="K19" s="139"/>
      <c r="L19" s="64"/>
      <c r="M19" s="64"/>
      <c r="N19" s="64"/>
      <c r="O19" s="64"/>
      <c r="P19" s="139"/>
      <c r="Q19" s="64"/>
      <c r="R19" s="138"/>
      <c r="S19" s="64"/>
      <c r="T19" s="64"/>
      <c r="U19" s="140"/>
      <c r="V19" s="64"/>
      <c r="W19" s="64"/>
      <c r="X19" s="64"/>
      <c r="Y19" s="64"/>
      <c r="Z19" s="64"/>
      <c r="AA19" s="64"/>
      <c r="AB19" s="64"/>
      <c r="AC19" s="64"/>
      <c r="AD19" s="64"/>
    </row>
    <row r="20" spans="1:30" x14ac:dyDescent="0.25">
      <c r="A20" s="137"/>
      <c r="B20" s="64"/>
      <c r="C20" s="64"/>
      <c r="D20" s="64"/>
      <c r="E20" s="137"/>
      <c r="F20" s="64"/>
      <c r="G20" s="64"/>
      <c r="H20" s="64"/>
      <c r="I20" s="138"/>
      <c r="J20" s="137"/>
      <c r="K20" s="139"/>
      <c r="L20" s="64"/>
      <c r="M20" s="64"/>
      <c r="N20" s="64"/>
      <c r="O20" s="64"/>
      <c r="P20" s="139"/>
      <c r="Q20" s="64"/>
      <c r="R20" s="138"/>
      <c r="S20" s="64"/>
      <c r="T20" s="64"/>
      <c r="U20" s="140"/>
      <c r="V20" s="64"/>
      <c r="W20" s="64"/>
      <c r="X20" s="64"/>
      <c r="Y20" s="64"/>
      <c r="Z20" s="64"/>
      <c r="AA20" s="64"/>
      <c r="AB20" s="64"/>
      <c r="AC20" s="64"/>
      <c r="AD20" s="64"/>
    </row>
    <row r="21" spans="1:30" x14ac:dyDescent="0.25">
      <c r="A21" s="137"/>
      <c r="B21" s="64"/>
      <c r="C21" s="64"/>
      <c r="D21" s="64"/>
      <c r="E21" s="137"/>
      <c r="F21" s="64"/>
      <c r="G21" s="64"/>
      <c r="H21" s="64"/>
      <c r="I21" s="138"/>
      <c r="J21" s="137"/>
      <c r="K21" s="139"/>
      <c r="L21" s="64"/>
      <c r="M21" s="64"/>
      <c r="N21" s="64"/>
      <c r="O21" s="64"/>
      <c r="P21" s="139"/>
      <c r="Q21" s="64"/>
      <c r="R21" s="138"/>
      <c r="S21" s="64"/>
      <c r="T21" s="64"/>
      <c r="U21" s="140"/>
      <c r="V21" s="64"/>
      <c r="W21" s="64"/>
      <c r="X21" s="64"/>
      <c r="Y21" s="64"/>
      <c r="Z21" s="64"/>
      <c r="AA21" s="64"/>
      <c r="AB21" s="64"/>
      <c r="AC21" s="64"/>
      <c r="AD21" s="64"/>
    </row>
    <row r="22" spans="1:30" x14ac:dyDescent="0.25">
      <c r="A22" s="137"/>
      <c r="B22" s="64"/>
      <c r="C22" s="64"/>
      <c r="D22" s="64"/>
      <c r="E22" s="137"/>
      <c r="F22" s="64"/>
      <c r="G22" s="64"/>
      <c r="H22" s="64"/>
      <c r="I22" s="138"/>
      <c r="J22" s="137"/>
      <c r="K22" s="139"/>
      <c r="L22" s="64"/>
      <c r="M22" s="64"/>
      <c r="N22" s="64"/>
      <c r="O22" s="64"/>
      <c r="P22" s="139"/>
      <c r="Q22" s="64"/>
      <c r="R22" s="138"/>
      <c r="S22" s="64"/>
      <c r="T22" s="64"/>
      <c r="U22" s="140"/>
      <c r="V22" s="64"/>
      <c r="W22" s="64"/>
      <c r="X22" s="64"/>
      <c r="Y22" s="64"/>
      <c r="Z22" s="64"/>
      <c r="AA22" s="64"/>
      <c r="AB22" s="64"/>
      <c r="AC22" s="64"/>
      <c r="AD22" s="64"/>
    </row>
    <row r="23" spans="1:30" x14ac:dyDescent="0.25">
      <c r="A23" s="137"/>
      <c r="B23" s="64"/>
      <c r="C23" s="64"/>
      <c r="D23" s="64"/>
      <c r="E23" s="137"/>
      <c r="F23" s="64"/>
      <c r="G23" s="64"/>
      <c r="H23" s="64"/>
      <c r="I23" s="138"/>
      <c r="J23" s="137"/>
      <c r="K23" s="139"/>
      <c r="L23" s="64"/>
      <c r="M23" s="64"/>
      <c r="N23" s="64"/>
      <c r="O23" s="64"/>
      <c r="P23" s="139"/>
      <c r="Q23" s="64"/>
      <c r="R23" s="138"/>
      <c r="S23" s="64"/>
      <c r="T23" s="64"/>
      <c r="U23" s="140"/>
      <c r="V23" s="64"/>
      <c r="W23" s="64"/>
      <c r="X23" s="64"/>
      <c r="Y23" s="64"/>
      <c r="Z23" s="64"/>
      <c r="AA23" s="64"/>
      <c r="AB23" s="64"/>
      <c r="AC23" s="64"/>
      <c r="AD23" s="64"/>
    </row>
    <row r="24" spans="1:30" x14ac:dyDescent="0.25">
      <c r="A24" s="137"/>
      <c r="B24" s="64"/>
      <c r="C24" s="64"/>
      <c r="D24" s="64"/>
      <c r="E24" s="137"/>
      <c r="F24" s="64"/>
      <c r="G24" s="64"/>
      <c r="H24" s="64"/>
      <c r="I24" s="138"/>
      <c r="J24" s="137"/>
      <c r="K24" s="139"/>
      <c r="L24" s="64"/>
      <c r="M24" s="64"/>
      <c r="N24" s="64"/>
      <c r="O24" s="64"/>
      <c r="P24" s="139"/>
      <c r="Q24" s="64"/>
      <c r="R24" s="138"/>
      <c r="S24" s="64"/>
      <c r="T24" s="64"/>
      <c r="U24" s="140"/>
      <c r="V24" s="64"/>
      <c r="W24" s="64"/>
      <c r="X24" s="64"/>
      <c r="Y24" s="64"/>
      <c r="Z24" s="64"/>
      <c r="AA24" s="64"/>
      <c r="AB24" s="64"/>
      <c r="AC24" s="64"/>
      <c r="AD24" s="64"/>
    </row>
    <row r="25" spans="1:30" x14ac:dyDescent="0.25">
      <c r="A25" s="137"/>
      <c r="B25" s="64"/>
      <c r="C25" s="64"/>
      <c r="D25" s="64"/>
      <c r="E25" s="137"/>
      <c r="F25" s="64"/>
      <c r="G25" s="64"/>
      <c r="H25" s="64"/>
      <c r="I25" s="138"/>
      <c r="J25" s="137"/>
      <c r="K25" s="139"/>
      <c r="L25" s="64"/>
      <c r="M25" s="64"/>
      <c r="N25" s="64"/>
      <c r="O25" s="64"/>
      <c r="P25" s="139"/>
      <c r="Q25" s="64"/>
      <c r="R25" s="138"/>
      <c r="S25" s="64"/>
      <c r="T25" s="64"/>
      <c r="U25" s="140"/>
      <c r="V25" s="64"/>
      <c r="W25" s="64"/>
      <c r="X25" s="64"/>
      <c r="Y25" s="64"/>
      <c r="Z25" s="64"/>
      <c r="AA25" s="64"/>
      <c r="AB25" s="64"/>
      <c r="AC25" s="64"/>
      <c r="AD25" s="64"/>
    </row>
    <row r="26" spans="1:30" x14ac:dyDescent="0.25">
      <c r="A26" s="137"/>
      <c r="B26" s="64"/>
      <c r="C26" s="64"/>
      <c r="D26" s="64"/>
      <c r="E26" s="137"/>
      <c r="F26" s="64"/>
      <c r="G26" s="64"/>
      <c r="H26" s="64"/>
      <c r="I26" s="138"/>
      <c r="J26" s="137"/>
      <c r="K26" s="139"/>
      <c r="L26" s="64"/>
      <c r="M26" s="64"/>
      <c r="N26" s="64"/>
      <c r="O26" s="64"/>
      <c r="P26" s="139"/>
      <c r="Q26" s="64"/>
      <c r="R26" s="138"/>
      <c r="S26" s="64"/>
      <c r="T26" s="64"/>
      <c r="U26" s="140"/>
      <c r="V26" s="64"/>
      <c r="W26" s="64"/>
      <c r="X26" s="64"/>
      <c r="Y26" s="64"/>
      <c r="Z26" s="64"/>
      <c r="AA26" s="64"/>
      <c r="AB26" s="64"/>
      <c r="AC26" s="64"/>
      <c r="AD26" s="64"/>
    </row>
    <row r="27" spans="1:30" x14ac:dyDescent="0.25">
      <c r="A27" s="137"/>
      <c r="B27" s="64"/>
      <c r="C27" s="64"/>
      <c r="D27" s="64"/>
      <c r="E27" s="137"/>
      <c r="F27" s="64"/>
      <c r="G27" s="64"/>
      <c r="H27" s="64"/>
      <c r="I27" s="141">
        <f>'Titolo 2'!D5</f>
        <v>125223.68000000002</v>
      </c>
      <c r="J27" s="137"/>
      <c r="K27" s="139"/>
      <c r="L27" s="64"/>
      <c r="M27" s="64"/>
      <c r="N27" s="64"/>
      <c r="O27" s="64"/>
      <c r="P27" s="139"/>
      <c r="Q27" s="64"/>
      <c r="R27" s="138"/>
      <c r="S27" s="64"/>
      <c r="T27" s="64"/>
      <c r="U27" s="140"/>
      <c r="V27" s="64"/>
      <c r="W27" s="64"/>
      <c r="X27" s="64"/>
      <c r="Y27" s="64"/>
      <c r="Z27" s="64"/>
      <c r="AA27" s="64"/>
      <c r="AB27" s="64"/>
      <c r="AC27" s="64"/>
      <c r="AD27" s="64"/>
    </row>
    <row r="28" spans="1:30" x14ac:dyDescent="0.25">
      <c r="A28" s="137"/>
      <c r="B28" s="64"/>
      <c r="C28" s="64"/>
      <c r="D28" s="64"/>
      <c r="E28" s="137"/>
      <c r="F28" s="64"/>
      <c r="G28" s="64"/>
      <c r="H28" s="64"/>
      <c r="I28" s="138"/>
      <c r="J28" s="137"/>
      <c r="K28" s="139"/>
      <c r="L28" s="64"/>
      <c r="M28" s="64"/>
      <c r="N28" s="64"/>
      <c r="O28" s="64"/>
      <c r="P28" s="139"/>
      <c r="Q28" s="64"/>
      <c r="R28" s="138"/>
      <c r="S28" s="64"/>
      <c r="T28" s="64"/>
      <c r="U28" s="140"/>
      <c r="V28" s="64"/>
      <c r="W28" s="64"/>
      <c r="X28" s="64"/>
      <c r="Y28" s="64"/>
      <c r="Z28" s="64"/>
      <c r="AA28" s="64"/>
      <c r="AB28" s="64"/>
      <c r="AC28" s="64"/>
      <c r="AD28" s="64"/>
    </row>
    <row r="29" spans="1:30" x14ac:dyDescent="0.25">
      <c r="A29" s="137"/>
      <c r="B29" s="64"/>
      <c r="C29" s="64"/>
      <c r="D29" s="64"/>
      <c r="E29" s="137"/>
      <c r="F29" s="64"/>
      <c r="G29" s="64"/>
      <c r="H29" s="64"/>
      <c r="I29" s="138"/>
      <c r="J29" s="137"/>
      <c r="K29" s="139"/>
      <c r="L29" s="64"/>
      <c r="M29" s="64"/>
      <c r="N29" s="64"/>
      <c r="O29" s="64"/>
      <c r="P29" s="139"/>
      <c r="Q29" s="64"/>
      <c r="R29" s="138"/>
      <c r="S29" s="64"/>
      <c r="T29" s="142">
        <f>'Titolo 2'!D2</f>
        <v>322720.28000000003</v>
      </c>
      <c r="U29" s="140"/>
      <c r="V29" s="64"/>
      <c r="W29" s="64"/>
      <c r="X29" s="64"/>
      <c r="Y29" s="64"/>
      <c r="Z29" s="64"/>
      <c r="AA29" s="64"/>
      <c r="AB29" s="64"/>
      <c r="AC29" s="64"/>
      <c r="AD29" s="64"/>
    </row>
    <row r="30" spans="1:30" x14ac:dyDescent="0.25">
      <c r="A30" s="143">
        <f t="shared" ref="A30:R30" si="0">SUM(A6:A29)</f>
        <v>0</v>
      </c>
      <c r="B30" s="144">
        <f t="shared" si="0"/>
        <v>0</v>
      </c>
      <c r="C30" s="144">
        <f t="shared" si="0"/>
        <v>162171.37</v>
      </c>
      <c r="D30" s="145">
        <f t="shared" si="0"/>
        <v>1921.5</v>
      </c>
      <c r="E30" s="143">
        <f t="shared" si="0"/>
        <v>0</v>
      </c>
      <c r="F30" s="144">
        <f t="shared" si="0"/>
        <v>1930.04</v>
      </c>
      <c r="G30" s="144">
        <f t="shared" si="0"/>
        <v>0</v>
      </c>
      <c r="H30" s="144">
        <f t="shared" si="0"/>
        <v>0</v>
      </c>
      <c r="I30" s="143">
        <f t="shared" si="0"/>
        <v>140405.97000000003</v>
      </c>
      <c r="J30" s="143">
        <f t="shared" si="0"/>
        <v>4225.6000000000004</v>
      </c>
      <c r="K30" s="145">
        <f t="shared" si="0"/>
        <v>0</v>
      </c>
      <c r="L30" s="144">
        <f t="shared" si="0"/>
        <v>5219.16</v>
      </c>
      <c r="M30" s="144">
        <f t="shared" si="0"/>
        <v>0</v>
      </c>
      <c r="N30" s="144">
        <f t="shared" si="0"/>
        <v>6846.6399999999994</v>
      </c>
      <c r="O30" s="144">
        <f t="shared" si="0"/>
        <v>0</v>
      </c>
      <c r="P30" s="145">
        <f t="shared" si="0"/>
        <v>0</v>
      </c>
      <c r="Q30" s="143">
        <f t="shared" si="0"/>
        <v>0</v>
      </c>
      <c r="R30" s="146">
        <f t="shared" si="0"/>
        <v>0</v>
      </c>
      <c r="S30" s="147">
        <f>SUM(A30:R30)</f>
        <v>322720.27999999997</v>
      </c>
      <c r="T30" s="148" t="s">
        <v>246</v>
      </c>
      <c r="U30" s="149"/>
      <c r="V30" s="64"/>
      <c r="W30" s="64"/>
      <c r="X30" s="64"/>
      <c r="Y30" s="64"/>
      <c r="Z30" s="64"/>
      <c r="AA30" s="64"/>
      <c r="AB30" s="64"/>
      <c r="AC30" s="64"/>
      <c r="AD30" s="64"/>
    </row>
    <row r="31" spans="1:30" s="72" customFormat="1" x14ac:dyDescent="0.2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115"/>
      <c r="V31" s="71"/>
      <c r="W31" s="71"/>
      <c r="X31" s="71"/>
      <c r="Y31" s="71"/>
      <c r="Z31" s="71"/>
      <c r="AA31" s="71"/>
      <c r="AB31" s="71"/>
      <c r="AC31" s="71"/>
      <c r="AD31" s="71"/>
    </row>
    <row r="32" spans="1:30" s="72" customFormat="1" ht="18.75" x14ac:dyDescent="0.3">
      <c r="A32" s="71"/>
      <c r="B32" s="71"/>
      <c r="C32" s="71"/>
      <c r="D32" s="114" t="s">
        <v>247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115"/>
      <c r="V32" s="71"/>
      <c r="W32" s="71"/>
      <c r="X32" s="71"/>
      <c r="Y32" s="71"/>
      <c r="Z32" s="71"/>
      <c r="AA32" s="71"/>
      <c r="AB32" s="71"/>
      <c r="AC32" s="71"/>
      <c r="AD32" s="71"/>
    </row>
    <row r="33" spans="1:30" s="72" customFormat="1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115"/>
      <c r="V33" s="71"/>
      <c r="W33" s="71"/>
      <c r="X33" s="71"/>
      <c r="Y33" s="71"/>
      <c r="Z33" s="71"/>
      <c r="AA33" s="71"/>
      <c r="AB33" s="71"/>
      <c r="AC33" s="71"/>
      <c r="AD33" s="71"/>
    </row>
    <row r="34" spans="1:30" x14ac:dyDescent="0.25">
      <c r="A34" s="116" t="s">
        <v>225</v>
      </c>
      <c r="B34" s="117"/>
      <c r="C34" s="117"/>
      <c r="D34" s="117"/>
      <c r="E34" s="116" t="s">
        <v>593</v>
      </c>
      <c r="F34" s="118"/>
      <c r="G34" s="118"/>
      <c r="H34" s="118"/>
      <c r="I34" s="119" t="s">
        <v>226</v>
      </c>
      <c r="J34" s="116" t="s">
        <v>227</v>
      </c>
      <c r="K34" s="120"/>
      <c r="L34" s="121" t="s">
        <v>228</v>
      </c>
      <c r="M34" s="118"/>
      <c r="N34" s="118"/>
      <c r="O34" s="118"/>
      <c r="P34" s="122"/>
      <c r="Q34" s="117" t="s">
        <v>229</v>
      </c>
      <c r="R34" s="119" t="s">
        <v>230</v>
      </c>
      <c r="U34" s="123"/>
    </row>
    <row r="35" spans="1:30" x14ac:dyDescent="0.25">
      <c r="A35" s="124" t="s">
        <v>18</v>
      </c>
      <c r="B35" s="72" t="s">
        <v>20</v>
      </c>
      <c r="C35" s="72" t="s">
        <v>22</v>
      </c>
      <c r="D35" s="72" t="s">
        <v>231</v>
      </c>
      <c r="E35" s="124" t="s">
        <v>18</v>
      </c>
      <c r="F35" s="125" t="s">
        <v>20</v>
      </c>
      <c r="G35" s="125" t="s">
        <v>594</v>
      </c>
      <c r="H35" s="125" t="s">
        <v>22</v>
      </c>
      <c r="I35" s="126" t="s">
        <v>232</v>
      </c>
      <c r="J35" s="124" t="s">
        <v>231</v>
      </c>
      <c r="K35" s="127" t="s">
        <v>233</v>
      </c>
      <c r="L35" s="125" t="s">
        <v>234</v>
      </c>
      <c r="M35" s="125" t="s">
        <v>235</v>
      </c>
      <c r="N35" s="125" t="s">
        <v>236</v>
      </c>
      <c r="O35" s="125" t="s">
        <v>237</v>
      </c>
      <c r="P35" s="128" t="s">
        <v>231</v>
      </c>
      <c r="Q35" s="125" t="s">
        <v>81</v>
      </c>
      <c r="R35" s="129" t="s">
        <v>238</v>
      </c>
      <c r="U35" s="123"/>
    </row>
    <row r="36" spans="1:30" s="72" customFormat="1" x14ac:dyDescent="0.25">
      <c r="A36" s="130"/>
      <c r="B36" s="131"/>
      <c r="C36" s="131"/>
      <c r="D36" s="131"/>
      <c r="E36" s="130" t="s">
        <v>239</v>
      </c>
      <c r="F36" s="132" t="s">
        <v>239</v>
      </c>
      <c r="G36" s="132" t="s">
        <v>595</v>
      </c>
      <c r="H36" s="132"/>
      <c r="I36" s="133"/>
      <c r="J36" s="130" t="s">
        <v>240</v>
      </c>
      <c r="K36" s="134"/>
      <c r="L36" s="132" t="s">
        <v>241</v>
      </c>
      <c r="M36" s="132" t="s">
        <v>242</v>
      </c>
      <c r="N36" s="132" t="s">
        <v>243</v>
      </c>
      <c r="O36" s="132" t="s">
        <v>244</v>
      </c>
      <c r="P36" s="135" t="s">
        <v>245</v>
      </c>
      <c r="Q36" s="130"/>
      <c r="R36" s="136"/>
      <c r="S36" s="125"/>
    </row>
    <row r="37" spans="1:30" x14ac:dyDescent="0.25">
      <c r="A37" s="137"/>
      <c r="B37" s="64"/>
      <c r="C37" s="64"/>
      <c r="D37" s="64"/>
      <c r="E37" s="137"/>
      <c r="F37" s="64"/>
      <c r="G37" s="64"/>
      <c r="H37" s="64"/>
      <c r="I37" s="138"/>
      <c r="J37" s="137"/>
      <c r="K37" s="150"/>
      <c r="L37" s="64"/>
      <c r="M37" s="64"/>
      <c r="N37" s="64"/>
      <c r="O37" s="64"/>
      <c r="P37" s="139"/>
      <c r="Q37" s="64"/>
      <c r="R37" s="138"/>
      <c r="S37" s="64"/>
      <c r="T37" s="64"/>
      <c r="U37" s="140"/>
      <c r="V37" s="64"/>
      <c r="W37" s="64"/>
      <c r="X37" s="64"/>
      <c r="Y37" s="64"/>
      <c r="Z37" s="64"/>
      <c r="AA37" s="64"/>
      <c r="AB37" s="64"/>
      <c r="AC37" s="64"/>
      <c r="AD37" s="64"/>
    </row>
    <row r="38" spans="1:30" x14ac:dyDescent="0.25">
      <c r="A38" s="137"/>
      <c r="B38" s="64"/>
      <c r="C38" s="64"/>
      <c r="D38" s="64"/>
      <c r="E38" s="137"/>
      <c r="F38" s="64"/>
      <c r="G38" s="64"/>
      <c r="H38" s="64"/>
      <c r="I38" s="138"/>
      <c r="J38" s="137"/>
      <c r="K38" s="139"/>
      <c r="L38" s="64"/>
      <c r="M38" s="64"/>
      <c r="N38" s="64"/>
      <c r="O38" s="64"/>
      <c r="P38" s="139"/>
      <c r="Q38" s="64"/>
      <c r="R38" s="138"/>
      <c r="S38" s="64"/>
      <c r="T38" s="64"/>
      <c r="U38" s="140"/>
      <c r="V38" s="64"/>
      <c r="W38" s="64"/>
      <c r="X38" s="64"/>
      <c r="Y38" s="64"/>
      <c r="Z38" s="64"/>
      <c r="AA38" s="64"/>
      <c r="AB38" s="64"/>
      <c r="AC38" s="64"/>
      <c r="AD38" s="64"/>
    </row>
    <row r="39" spans="1:30" x14ac:dyDescent="0.25">
      <c r="A39" s="137"/>
      <c r="B39" s="64"/>
      <c r="C39" s="64"/>
      <c r="D39" s="64"/>
      <c r="E39" s="137"/>
      <c r="F39" s="64"/>
      <c r="G39" s="64"/>
      <c r="H39" s="64"/>
      <c r="I39" s="138"/>
      <c r="J39" s="137"/>
      <c r="K39" s="139"/>
      <c r="L39" s="64"/>
      <c r="M39" s="64"/>
      <c r="N39" s="64"/>
      <c r="O39" s="64"/>
      <c r="P39" s="139"/>
      <c r="Q39" s="64"/>
      <c r="R39" s="138"/>
      <c r="S39" s="64"/>
      <c r="T39" s="64"/>
      <c r="U39" s="140"/>
      <c r="V39" s="64"/>
      <c r="W39" s="64"/>
      <c r="X39" s="64"/>
      <c r="Y39" s="64"/>
      <c r="Z39" s="64"/>
      <c r="AA39" s="64"/>
      <c r="AB39" s="64"/>
      <c r="AC39" s="64"/>
      <c r="AD39" s="64"/>
    </row>
    <row r="40" spans="1:30" x14ac:dyDescent="0.25">
      <c r="A40" s="143">
        <f t="shared" ref="A40:R40" si="1">SUM(A37:A39)</f>
        <v>0</v>
      </c>
      <c r="B40" s="144">
        <f t="shared" si="1"/>
        <v>0</v>
      </c>
      <c r="C40" s="144">
        <f t="shared" si="1"/>
        <v>0</v>
      </c>
      <c r="D40" s="145">
        <f t="shared" si="1"/>
        <v>0</v>
      </c>
      <c r="E40" s="143">
        <f t="shared" si="1"/>
        <v>0</v>
      </c>
      <c r="F40" s="144">
        <f t="shared" si="1"/>
        <v>0</v>
      </c>
      <c r="G40" s="144">
        <f t="shared" si="1"/>
        <v>0</v>
      </c>
      <c r="H40" s="145">
        <f t="shared" si="1"/>
        <v>0</v>
      </c>
      <c r="I40" s="143">
        <f t="shared" si="1"/>
        <v>0</v>
      </c>
      <c r="J40" s="143">
        <f t="shared" si="1"/>
        <v>0</v>
      </c>
      <c r="K40" s="145">
        <f t="shared" si="1"/>
        <v>0</v>
      </c>
      <c r="L40" s="144">
        <f t="shared" si="1"/>
        <v>0</v>
      </c>
      <c r="M40" s="144">
        <f t="shared" si="1"/>
        <v>0</v>
      </c>
      <c r="N40" s="144">
        <f t="shared" si="1"/>
        <v>0</v>
      </c>
      <c r="O40" s="144">
        <f t="shared" si="1"/>
        <v>0</v>
      </c>
      <c r="P40" s="145">
        <f t="shared" si="1"/>
        <v>0</v>
      </c>
      <c r="Q40" s="143">
        <f t="shared" si="1"/>
        <v>0</v>
      </c>
      <c r="R40" s="146">
        <f t="shared" si="1"/>
        <v>0</v>
      </c>
      <c r="S40" s="147">
        <f>SUM(A40:R40)</f>
        <v>0</v>
      </c>
      <c r="T40" s="147" t="s">
        <v>248</v>
      </c>
      <c r="U40" s="149"/>
      <c r="V40" s="64"/>
      <c r="W40" s="64"/>
      <c r="X40" s="64"/>
      <c r="Y40" s="64"/>
      <c r="Z40" s="64"/>
      <c r="AA40" s="64"/>
      <c r="AB40" s="64"/>
      <c r="AC40" s="64"/>
      <c r="AD40" s="64"/>
    </row>
    <row r="41" spans="1:30" ht="18.75" x14ac:dyDescent="0.3">
      <c r="A41" s="64"/>
      <c r="B41" s="64"/>
      <c r="C41" s="64"/>
      <c r="D41" s="152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</row>
    <row r="57" spans="1:30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</row>
    <row r="58" spans="1:30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</row>
    <row r="59" spans="1:30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</row>
    <row r="60" spans="1:30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</row>
    <row r="61" spans="1:30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</row>
    <row r="62" spans="1:30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</row>
    <row r="63" spans="1:30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</row>
    <row r="64" spans="1:30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</row>
    <row r="65" spans="1:30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</row>
    <row r="66" spans="1:30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</row>
    <row r="67" spans="1:30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</row>
    <row r="68" spans="1:30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</row>
    <row r="70" spans="1:30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</row>
    <row r="71" spans="1:30" x14ac:dyDescent="0.2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</row>
    <row r="72" spans="1:30" x14ac:dyDescent="0.2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</row>
    <row r="73" spans="1:30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</row>
    <row r="74" spans="1:30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</row>
    <row r="75" spans="1:30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</row>
    <row r="76" spans="1:30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</row>
    <row r="77" spans="1:30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</row>
    <row r="78" spans="1:30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</row>
    <row r="79" spans="1:30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</row>
    <row r="80" spans="1:30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</row>
    <row r="81" spans="1:30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</row>
    <row r="82" spans="1:30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</row>
    <row r="83" spans="1:30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</row>
    <row r="84" spans="1:30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</row>
    <row r="85" spans="1:30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</row>
    <row r="86" spans="1:30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</row>
    <row r="87" spans="1:30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</row>
    <row r="88" spans="1:30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</row>
    <row r="89" spans="1:30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</row>
    <row r="90" spans="1:30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</row>
    <row r="91" spans="1:30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</row>
    <row r="92" spans="1:30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</row>
    <row r="93" spans="1:30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</row>
    <row r="94" spans="1:30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</row>
    <row r="95" spans="1:30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</row>
    <row r="96" spans="1:30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</row>
    <row r="97" spans="1:30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</row>
    <row r="98" spans="1:30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</row>
    <row r="99" spans="1:30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</row>
    <row r="100" spans="1:30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</row>
    <row r="101" spans="1:30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</row>
    <row r="102" spans="1:30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</row>
    <row r="103" spans="1:30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</row>
    <row r="104" spans="1:30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</row>
    <row r="105" spans="1:30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</row>
    <row r="106" spans="1:30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</row>
    <row r="107" spans="1:30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</row>
    <row r="108" spans="1:30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</row>
    <row r="109" spans="1:30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</row>
    <row r="110" spans="1:30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</row>
    <row r="111" spans="1:30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</row>
    <row r="112" spans="1:30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</row>
    <row r="113" spans="1:30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</row>
    <row r="114" spans="1:30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</row>
    <row r="115" spans="1:30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</row>
    <row r="116" spans="1:30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</row>
    <row r="117" spans="1:30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</row>
    <row r="118" spans="1:30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</row>
    <row r="119" spans="1:30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</row>
    <row r="120" spans="1:30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</row>
    <row r="121" spans="1:30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</row>
    <row r="122" spans="1:30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</row>
    <row r="123" spans="1:30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</row>
    <row r="124" spans="1:30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</row>
    <row r="125" spans="1:30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</row>
    <row r="126" spans="1:30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</row>
    <row r="127" spans="1:30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</row>
    <row r="128" spans="1:30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</row>
    <row r="129" spans="1:30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</row>
    <row r="130" spans="1:30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</row>
    <row r="131" spans="1:30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</row>
    <row r="132" spans="1:30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</row>
    <row r="133" spans="1:30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</row>
    <row r="134" spans="1:30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</row>
    <row r="135" spans="1:30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</row>
    <row r="136" spans="1:30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</row>
    <row r="137" spans="1:30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</row>
    <row r="138" spans="1:30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</row>
    <row r="139" spans="1:30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</row>
    <row r="140" spans="1:30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</row>
    <row r="141" spans="1:30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</row>
    <row r="142" spans="1:30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</row>
    <row r="143" spans="1:30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</row>
    <row r="144" spans="1:30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</row>
    <row r="145" spans="1:30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</row>
    <row r="146" spans="1:30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</row>
    <row r="147" spans="1:30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</row>
    <row r="148" spans="1:30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</row>
  </sheetData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4"/>
  <sheetViews>
    <sheetView topLeftCell="A19" zoomScale="75" zoomScaleNormal="75" workbookViewId="0">
      <selection activeCell="P41" sqref="P41"/>
    </sheetView>
  </sheetViews>
  <sheetFormatPr defaultRowHeight="15" x14ac:dyDescent="0.25"/>
  <cols>
    <col min="1" max="19" width="13.28515625" customWidth="1"/>
    <col min="20" max="20" width="30.7109375" bestFit="1" customWidth="1"/>
  </cols>
  <sheetData>
    <row r="1" spans="1:30" s="72" customFormat="1" ht="18.75" x14ac:dyDescent="0.3">
      <c r="A1" s="71"/>
      <c r="B1" s="71"/>
      <c r="C1" s="71"/>
      <c r="D1" s="114" t="s">
        <v>249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115"/>
      <c r="V1" s="71"/>
      <c r="W1" s="71"/>
      <c r="X1" s="71"/>
      <c r="Y1" s="71"/>
      <c r="Z1" s="71"/>
      <c r="AA1" s="71"/>
      <c r="AB1" s="71"/>
      <c r="AC1" s="71"/>
      <c r="AD1" s="71"/>
    </row>
    <row r="2" spans="1:30" s="72" customForma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115"/>
      <c r="V2" s="71"/>
      <c r="W2" s="71"/>
      <c r="X2" s="71"/>
      <c r="Y2" s="71"/>
      <c r="Z2" s="71"/>
      <c r="AA2" s="71"/>
      <c r="AB2" s="71"/>
      <c r="AC2" s="71"/>
      <c r="AD2" s="71"/>
    </row>
    <row r="3" spans="1:30" x14ac:dyDescent="0.25">
      <c r="A3" s="116" t="s">
        <v>225</v>
      </c>
      <c r="B3" s="117"/>
      <c r="C3" s="117"/>
      <c r="D3" s="117"/>
      <c r="E3" s="116" t="s">
        <v>593</v>
      </c>
      <c r="F3" s="118"/>
      <c r="G3" s="118"/>
      <c r="H3" s="118"/>
      <c r="I3" s="119" t="s">
        <v>226</v>
      </c>
      <c r="J3" s="116" t="s">
        <v>227</v>
      </c>
      <c r="K3" s="120"/>
      <c r="L3" s="121" t="s">
        <v>228</v>
      </c>
      <c r="M3" s="118"/>
      <c r="N3" s="118"/>
      <c r="O3" s="118"/>
      <c r="P3" s="122"/>
      <c r="Q3" s="117" t="s">
        <v>229</v>
      </c>
      <c r="R3" s="119" t="s">
        <v>230</v>
      </c>
      <c r="U3" s="123"/>
    </row>
    <row r="4" spans="1:30" x14ac:dyDescent="0.25">
      <c r="A4" s="124" t="s">
        <v>18</v>
      </c>
      <c r="B4" s="72" t="s">
        <v>20</v>
      </c>
      <c r="C4" s="72" t="s">
        <v>22</v>
      </c>
      <c r="D4" s="72" t="s">
        <v>231</v>
      </c>
      <c r="E4" s="124" t="s">
        <v>18</v>
      </c>
      <c r="F4" s="125" t="s">
        <v>20</v>
      </c>
      <c r="G4" s="125" t="s">
        <v>594</v>
      </c>
      <c r="H4" s="125" t="s">
        <v>22</v>
      </c>
      <c r="I4" s="126" t="s">
        <v>232</v>
      </c>
      <c r="J4" s="124" t="s">
        <v>231</v>
      </c>
      <c r="K4" s="127" t="s">
        <v>233</v>
      </c>
      <c r="L4" s="125" t="s">
        <v>234</v>
      </c>
      <c r="M4" s="125" t="s">
        <v>235</v>
      </c>
      <c r="N4" s="125" t="s">
        <v>236</v>
      </c>
      <c r="O4" s="125" t="s">
        <v>237</v>
      </c>
      <c r="P4" s="128" t="s">
        <v>231</v>
      </c>
      <c r="Q4" s="125" t="s">
        <v>81</v>
      </c>
      <c r="R4" s="129" t="s">
        <v>238</v>
      </c>
      <c r="U4" s="123"/>
    </row>
    <row r="5" spans="1:30" s="72" customFormat="1" x14ac:dyDescent="0.25">
      <c r="A5" s="130"/>
      <c r="B5" s="131"/>
      <c r="C5" s="131"/>
      <c r="D5" s="131"/>
      <c r="E5" s="130" t="s">
        <v>239</v>
      </c>
      <c r="F5" s="132" t="s">
        <v>239</v>
      </c>
      <c r="G5" s="132" t="s">
        <v>595</v>
      </c>
      <c r="H5" s="132"/>
      <c r="I5" s="133"/>
      <c r="J5" s="130" t="s">
        <v>240</v>
      </c>
      <c r="K5" s="134"/>
      <c r="L5" s="132" t="s">
        <v>241</v>
      </c>
      <c r="M5" s="132" t="s">
        <v>242</v>
      </c>
      <c r="N5" s="132" t="s">
        <v>243</v>
      </c>
      <c r="O5" s="132" t="s">
        <v>244</v>
      </c>
      <c r="P5" s="135" t="s">
        <v>245</v>
      </c>
      <c r="Q5" s="130"/>
      <c r="R5" s="136"/>
      <c r="S5" s="125"/>
    </row>
    <row r="6" spans="1:30" x14ac:dyDescent="0.25">
      <c r="A6" s="137"/>
      <c r="B6" s="64"/>
      <c r="C6" s="64"/>
      <c r="D6" s="64"/>
      <c r="E6" s="137"/>
      <c r="F6" s="64"/>
      <c r="G6" s="64"/>
      <c r="H6" s="64"/>
      <c r="I6" s="138"/>
      <c r="J6" s="137"/>
      <c r="K6" s="150"/>
      <c r="L6" s="64"/>
      <c r="M6" s="64"/>
      <c r="N6" s="64"/>
      <c r="O6" s="64"/>
      <c r="P6" s="139"/>
      <c r="Q6" s="64"/>
      <c r="R6" s="138"/>
      <c r="S6" s="64"/>
      <c r="T6" s="64"/>
      <c r="U6" s="140"/>
      <c r="V6" s="64"/>
      <c r="W6" s="64"/>
      <c r="X6" s="64"/>
      <c r="Y6" s="64"/>
      <c r="Z6" s="64"/>
      <c r="AA6" s="64"/>
      <c r="AB6" s="64"/>
      <c r="AC6" s="64"/>
      <c r="AD6" s="64"/>
    </row>
    <row r="7" spans="1:30" x14ac:dyDescent="0.25">
      <c r="A7" s="137"/>
      <c r="B7" s="64"/>
      <c r="C7" s="64"/>
      <c r="D7" s="64"/>
      <c r="E7" s="137"/>
      <c r="F7" s="64"/>
      <c r="G7" s="64"/>
      <c r="H7" s="64"/>
      <c r="I7" s="138"/>
      <c r="J7" s="137"/>
      <c r="K7" s="139"/>
      <c r="L7" s="64"/>
      <c r="M7" s="64"/>
      <c r="N7" s="64">
        <v>3553.98</v>
      </c>
      <c r="O7" s="64"/>
      <c r="P7" s="139"/>
      <c r="Q7" s="64"/>
      <c r="R7" s="138"/>
      <c r="S7" s="64"/>
      <c r="T7" s="64"/>
      <c r="U7" s="140"/>
      <c r="V7" s="64"/>
      <c r="W7" s="64"/>
      <c r="X7" s="64"/>
      <c r="Y7" s="64"/>
      <c r="Z7" s="64"/>
      <c r="AA7" s="64"/>
      <c r="AB7" s="64"/>
      <c r="AC7" s="64"/>
      <c r="AD7" s="64"/>
    </row>
    <row r="8" spans="1:30" x14ac:dyDescent="0.25">
      <c r="A8" s="137"/>
      <c r="B8" s="64"/>
      <c r="C8" s="64"/>
      <c r="D8" s="64"/>
      <c r="E8" s="137"/>
      <c r="F8" s="64"/>
      <c r="G8" s="64"/>
      <c r="H8" s="64"/>
      <c r="I8" s="138"/>
      <c r="J8" s="137"/>
      <c r="K8" s="139"/>
      <c r="L8" s="64"/>
      <c r="M8" s="64"/>
      <c r="N8" s="64"/>
      <c r="O8" s="64"/>
      <c r="P8" s="139"/>
      <c r="Q8" s="64"/>
      <c r="R8" s="138"/>
      <c r="S8" s="64"/>
      <c r="T8" s="64"/>
      <c r="U8" s="140"/>
      <c r="V8" s="64"/>
      <c r="W8" s="64"/>
      <c r="X8" s="64"/>
      <c r="Y8" s="64"/>
      <c r="Z8" s="64"/>
      <c r="AA8" s="64"/>
      <c r="AB8" s="64"/>
      <c r="AC8" s="64"/>
      <c r="AD8" s="64"/>
    </row>
    <row r="9" spans="1:30" x14ac:dyDescent="0.25">
      <c r="A9" s="137"/>
      <c r="B9" s="64"/>
      <c r="C9" s="64"/>
      <c r="D9" s="64"/>
      <c r="E9" s="137"/>
      <c r="F9" s="64"/>
      <c r="G9" s="64"/>
      <c r="H9" s="64"/>
      <c r="I9" s="138"/>
      <c r="J9" s="137"/>
      <c r="K9" s="139"/>
      <c r="L9" s="64"/>
      <c r="M9" s="64"/>
      <c r="N9" s="64"/>
      <c r="O9" s="64"/>
      <c r="P9" s="139"/>
      <c r="Q9" s="64"/>
      <c r="R9" s="138"/>
      <c r="S9" s="64"/>
      <c r="T9" s="64"/>
      <c r="U9" s="140"/>
      <c r="V9" s="64"/>
      <c r="W9" s="64"/>
      <c r="X9" s="64"/>
      <c r="Y9" s="64"/>
      <c r="Z9" s="64"/>
      <c r="AA9" s="64"/>
      <c r="AB9" s="64"/>
      <c r="AC9" s="64"/>
      <c r="AD9" s="64"/>
    </row>
    <row r="10" spans="1:30" x14ac:dyDescent="0.25">
      <c r="A10" s="137"/>
      <c r="B10" s="64"/>
      <c r="C10" s="64"/>
      <c r="D10" s="64"/>
      <c r="E10" s="137"/>
      <c r="F10" s="64"/>
      <c r="G10" s="64"/>
      <c r="H10" s="64"/>
      <c r="I10" s="138"/>
      <c r="J10" s="137"/>
      <c r="K10" s="139"/>
      <c r="L10" s="64"/>
      <c r="M10" s="64"/>
      <c r="N10" s="64"/>
      <c r="O10" s="64"/>
      <c r="P10" s="139"/>
      <c r="Q10" s="64"/>
      <c r="R10" s="138"/>
      <c r="S10" s="64"/>
      <c r="T10" s="64"/>
      <c r="U10" s="140"/>
      <c r="V10" s="64"/>
      <c r="W10" s="64"/>
      <c r="X10" s="64"/>
      <c r="Y10" s="64"/>
      <c r="Z10" s="64"/>
      <c r="AA10" s="64"/>
      <c r="AB10" s="64"/>
      <c r="AC10" s="64"/>
      <c r="AD10" s="64"/>
    </row>
    <row r="11" spans="1:30" x14ac:dyDescent="0.25">
      <c r="A11" s="143">
        <f t="shared" ref="A11:R11" si="0">SUM(A6:A10)</f>
        <v>0</v>
      </c>
      <c r="B11" s="144">
        <f t="shared" si="0"/>
        <v>0</v>
      </c>
      <c r="C11" s="144">
        <f t="shared" si="0"/>
        <v>0</v>
      </c>
      <c r="D11" s="145">
        <f t="shared" si="0"/>
        <v>0</v>
      </c>
      <c r="E11" s="144">
        <f t="shared" si="0"/>
        <v>0</v>
      </c>
      <c r="F11" s="144">
        <f t="shared" si="0"/>
        <v>0</v>
      </c>
      <c r="G11" s="144">
        <f t="shared" si="0"/>
        <v>0</v>
      </c>
      <c r="H11" s="144">
        <f t="shared" si="0"/>
        <v>0</v>
      </c>
      <c r="I11" s="146">
        <f t="shared" si="0"/>
        <v>0</v>
      </c>
      <c r="J11" s="144">
        <f t="shared" si="0"/>
        <v>0</v>
      </c>
      <c r="K11" s="144">
        <f t="shared" si="0"/>
        <v>0</v>
      </c>
      <c r="L11" s="143">
        <f t="shared" si="0"/>
        <v>0</v>
      </c>
      <c r="M11" s="144">
        <f t="shared" si="0"/>
        <v>0</v>
      </c>
      <c r="N11" s="144">
        <f t="shared" si="0"/>
        <v>3553.98</v>
      </c>
      <c r="O11" s="144">
        <f t="shared" si="0"/>
        <v>0</v>
      </c>
      <c r="P11" s="144">
        <f t="shared" si="0"/>
        <v>0</v>
      </c>
      <c r="Q11" s="146">
        <f t="shared" si="0"/>
        <v>0</v>
      </c>
      <c r="R11" s="146">
        <f t="shared" si="0"/>
        <v>0</v>
      </c>
      <c r="S11" s="153">
        <f>SUM(A11:R11)</f>
        <v>3553.98</v>
      </c>
      <c r="T11" s="153" t="s">
        <v>250</v>
      </c>
      <c r="U11" s="149"/>
      <c r="V11" s="64"/>
      <c r="W11" s="64"/>
      <c r="X11" s="64"/>
      <c r="Y11" s="64"/>
      <c r="Z11" s="64"/>
      <c r="AA11" s="64"/>
      <c r="AB11" s="64"/>
      <c r="AC11" s="64"/>
      <c r="AD11" s="64"/>
    </row>
    <row r="12" spans="1:30" x14ac:dyDescent="0.25">
      <c r="A12" s="137"/>
      <c r="B12" s="64"/>
      <c r="C12" s="64"/>
      <c r="D12" s="139"/>
      <c r="E12" s="71"/>
      <c r="F12" s="64"/>
      <c r="G12" s="64"/>
      <c r="H12" s="64"/>
      <c r="I12" s="138"/>
      <c r="J12" s="71"/>
      <c r="K12" s="71"/>
      <c r="L12" s="137"/>
      <c r="M12" s="64"/>
      <c r="N12" s="64"/>
      <c r="O12" s="64"/>
      <c r="P12" s="71"/>
      <c r="Q12" s="138"/>
      <c r="R12" s="138"/>
      <c r="S12" s="64"/>
      <c r="T12" s="64"/>
      <c r="U12" s="140"/>
      <c r="V12" s="64"/>
      <c r="W12" s="64"/>
      <c r="X12" s="64"/>
      <c r="Y12" s="64"/>
      <c r="Z12" s="64"/>
      <c r="AA12" s="64"/>
      <c r="AB12" s="64"/>
      <c r="AC12" s="64"/>
      <c r="AD12" s="64"/>
    </row>
    <row r="13" spans="1:30" x14ac:dyDescent="0.25">
      <c r="A13" s="137"/>
      <c r="B13" s="64"/>
      <c r="C13" s="64">
        <v>37253.919999999998</v>
      </c>
      <c r="D13" s="139"/>
      <c r="E13" s="71"/>
      <c r="F13" s="64"/>
      <c r="G13" s="64"/>
      <c r="H13" s="64"/>
      <c r="I13" s="59">
        <v>14030</v>
      </c>
      <c r="J13" s="71">
        <v>2537.6</v>
      </c>
      <c r="K13" s="71"/>
      <c r="L13" s="137"/>
      <c r="M13" s="64">
        <v>29995.98</v>
      </c>
      <c r="N13" s="64"/>
      <c r="O13" s="64"/>
      <c r="P13" s="71"/>
      <c r="Q13" s="138"/>
      <c r="R13" s="138"/>
      <c r="S13" s="64"/>
      <c r="T13" s="64"/>
      <c r="U13" s="140"/>
      <c r="V13" s="64"/>
      <c r="W13" s="64"/>
      <c r="X13" s="64"/>
      <c r="Y13" s="64"/>
      <c r="Z13" s="64"/>
      <c r="AA13" s="64"/>
      <c r="AB13" s="64"/>
      <c r="AC13" s="64"/>
      <c r="AD13" s="64"/>
    </row>
    <row r="14" spans="1:30" x14ac:dyDescent="0.25">
      <c r="A14" s="137"/>
      <c r="B14" s="64"/>
      <c r="C14" s="64">
        <v>25953.99</v>
      </c>
      <c r="D14" s="139"/>
      <c r="E14" s="71"/>
      <c r="F14" s="64"/>
      <c r="G14" s="64"/>
      <c r="H14" s="64"/>
      <c r="I14" s="138">
        <v>48800</v>
      </c>
      <c r="J14" s="71"/>
      <c r="K14" s="71"/>
      <c r="L14" s="137"/>
      <c r="M14" s="64">
        <v>15300</v>
      </c>
      <c r="N14" s="64"/>
      <c r="O14" s="64"/>
      <c r="P14" s="71"/>
      <c r="Q14" s="138"/>
      <c r="R14" s="138"/>
      <c r="S14" s="64"/>
      <c r="T14" s="64"/>
      <c r="U14" s="140"/>
      <c r="V14" s="64"/>
      <c r="W14" s="64"/>
      <c r="X14" s="64"/>
      <c r="Y14" s="64"/>
      <c r="Z14" s="64"/>
      <c r="AA14" s="64"/>
      <c r="AB14" s="64"/>
      <c r="AC14" s="64"/>
      <c r="AD14" s="64"/>
    </row>
    <row r="15" spans="1:30" x14ac:dyDescent="0.25">
      <c r="A15" s="137"/>
      <c r="B15" s="64"/>
      <c r="C15" s="64">
        <v>2874.73</v>
      </c>
      <c r="D15" s="139"/>
      <c r="E15" s="71"/>
      <c r="F15" s="64"/>
      <c r="G15" s="64"/>
      <c r="H15" s="64"/>
      <c r="I15" s="138">
        <v>36600</v>
      </c>
      <c r="J15" s="71"/>
      <c r="K15" s="71"/>
      <c r="L15" s="137"/>
      <c r="M15" s="64"/>
      <c r="N15" s="64"/>
      <c r="O15" s="64"/>
      <c r="P15" s="71"/>
      <c r="Q15" s="138"/>
      <c r="R15" s="138"/>
      <c r="S15" s="64"/>
      <c r="T15" s="64"/>
      <c r="U15" s="140"/>
      <c r="V15" s="64"/>
      <c r="W15" s="64"/>
      <c r="X15" s="64"/>
      <c r="Y15" s="64"/>
      <c r="Z15" s="64"/>
      <c r="AA15" s="64"/>
      <c r="AB15" s="64"/>
      <c r="AC15" s="64"/>
      <c r="AD15" s="64"/>
    </row>
    <row r="16" spans="1:30" x14ac:dyDescent="0.25">
      <c r="A16" s="137"/>
      <c r="B16" s="64"/>
      <c r="C16" s="64"/>
      <c r="D16" s="139"/>
      <c r="E16" s="71"/>
      <c r="F16" s="64"/>
      <c r="G16" s="64"/>
      <c r="H16" s="64"/>
      <c r="I16" s="138">
        <v>36600</v>
      </c>
      <c r="J16" s="71"/>
      <c r="K16" s="71"/>
      <c r="L16" s="137"/>
      <c r="M16" s="64"/>
      <c r="N16" s="64"/>
      <c r="O16" s="64"/>
      <c r="P16" s="71"/>
      <c r="Q16" s="138"/>
      <c r="R16" s="138"/>
      <c r="S16" s="64"/>
      <c r="T16" s="64"/>
      <c r="U16" s="140"/>
      <c r="V16" s="64"/>
      <c r="W16" s="64"/>
      <c r="X16" s="64"/>
      <c r="Y16" s="64"/>
      <c r="Z16" s="64"/>
      <c r="AA16" s="64"/>
      <c r="AB16" s="64"/>
      <c r="AC16" s="64"/>
      <c r="AD16" s="64"/>
    </row>
    <row r="17" spans="1:30" x14ac:dyDescent="0.25">
      <c r="A17" s="137"/>
      <c r="B17" s="64"/>
      <c r="C17" s="64"/>
      <c r="D17" s="139"/>
      <c r="E17" s="71"/>
      <c r="F17" s="64"/>
      <c r="G17" s="64"/>
      <c r="H17" s="64"/>
      <c r="I17" s="138">
        <v>36600</v>
      </c>
      <c r="J17" s="71"/>
      <c r="K17" s="71"/>
      <c r="L17" s="137"/>
      <c r="M17" s="64"/>
      <c r="N17" s="64"/>
      <c r="O17" s="64"/>
      <c r="P17" s="71"/>
      <c r="Q17" s="138"/>
      <c r="R17" s="138"/>
      <c r="S17" s="64"/>
      <c r="T17" s="64"/>
      <c r="U17" s="140"/>
      <c r="V17" s="64"/>
      <c r="W17" s="64"/>
      <c r="X17" s="64"/>
      <c r="Y17" s="64"/>
      <c r="Z17" s="64"/>
      <c r="AA17" s="64"/>
      <c r="AB17" s="64"/>
      <c r="AC17" s="64"/>
      <c r="AD17" s="64"/>
    </row>
    <row r="18" spans="1:30" x14ac:dyDescent="0.25">
      <c r="A18" s="137"/>
      <c r="B18" s="64"/>
      <c r="C18" s="64"/>
      <c r="D18" s="139"/>
      <c r="E18" s="71"/>
      <c r="F18" s="64"/>
      <c r="G18" s="64"/>
      <c r="H18" s="64"/>
      <c r="I18" s="138">
        <v>1804.68</v>
      </c>
      <c r="J18" s="71"/>
      <c r="K18" s="71"/>
      <c r="L18" s="137"/>
      <c r="M18" s="64"/>
      <c r="N18" s="64"/>
      <c r="O18" s="64"/>
      <c r="P18" s="71"/>
      <c r="Q18" s="138"/>
      <c r="R18" s="138"/>
      <c r="S18" s="64"/>
      <c r="T18" s="64"/>
      <c r="U18" s="140"/>
      <c r="V18" s="64"/>
      <c r="W18" s="64"/>
      <c r="X18" s="64"/>
      <c r="Y18" s="64"/>
      <c r="Z18" s="64"/>
      <c r="AA18" s="64"/>
      <c r="AB18" s="64"/>
      <c r="AC18" s="64"/>
      <c r="AD18" s="64"/>
    </row>
    <row r="19" spans="1:30" x14ac:dyDescent="0.25">
      <c r="A19" s="137"/>
      <c r="B19" s="64"/>
      <c r="C19" s="64"/>
      <c r="D19" s="139"/>
      <c r="E19" s="71"/>
      <c r="F19" s="64"/>
      <c r="G19" s="64"/>
      <c r="H19" s="64"/>
      <c r="I19" s="138">
        <v>4654.95</v>
      </c>
      <c r="J19" s="71"/>
      <c r="K19" s="71"/>
      <c r="L19" s="137"/>
      <c r="M19" s="64"/>
      <c r="N19" s="64"/>
      <c r="O19" s="64"/>
      <c r="P19" s="71"/>
      <c r="Q19" s="138"/>
      <c r="R19" s="138"/>
      <c r="S19" s="64"/>
      <c r="T19" s="64"/>
      <c r="U19" s="140"/>
      <c r="V19" s="64"/>
      <c r="W19" s="64"/>
      <c r="X19" s="64"/>
      <c r="Y19" s="64"/>
      <c r="Z19" s="64"/>
      <c r="AA19" s="64"/>
      <c r="AB19" s="64"/>
      <c r="AC19" s="64"/>
      <c r="AD19" s="64"/>
    </row>
    <row r="20" spans="1:30" x14ac:dyDescent="0.25">
      <c r="A20" s="137"/>
      <c r="B20" s="64"/>
      <c r="C20" s="64"/>
      <c r="D20" s="139"/>
      <c r="E20" s="71"/>
      <c r="F20" s="64"/>
      <c r="G20" s="64"/>
      <c r="H20" s="64"/>
      <c r="I20" s="138"/>
      <c r="J20" s="71"/>
      <c r="K20" s="71"/>
      <c r="L20" s="137"/>
      <c r="M20" s="64"/>
      <c r="N20" s="64"/>
      <c r="O20" s="64"/>
      <c r="P20" s="71"/>
      <c r="Q20" s="138"/>
      <c r="R20" s="138"/>
      <c r="S20" s="64"/>
      <c r="T20" s="64"/>
      <c r="U20" s="140"/>
      <c r="V20" s="64"/>
      <c r="W20" s="64"/>
      <c r="X20" s="64"/>
      <c r="Y20" s="64"/>
      <c r="Z20" s="64"/>
      <c r="AA20" s="64"/>
      <c r="AB20" s="64"/>
      <c r="AC20" s="64"/>
      <c r="AD20" s="64"/>
    </row>
    <row r="21" spans="1:30" x14ac:dyDescent="0.25">
      <c r="A21" s="137"/>
      <c r="B21" s="64"/>
      <c r="C21" s="64"/>
      <c r="D21" s="139"/>
      <c r="E21" s="71"/>
      <c r="F21" s="64"/>
      <c r="G21" s="64"/>
      <c r="H21" s="64"/>
      <c r="I21" s="138"/>
      <c r="J21" s="71"/>
      <c r="K21" s="71"/>
      <c r="L21" s="137"/>
      <c r="M21" s="64"/>
      <c r="N21" s="64"/>
      <c r="O21" s="64"/>
      <c r="P21" s="71"/>
      <c r="Q21" s="138"/>
      <c r="R21" s="138"/>
      <c r="S21" s="64"/>
      <c r="T21" s="64"/>
      <c r="U21" s="140"/>
      <c r="V21" s="64"/>
      <c r="W21" s="64"/>
      <c r="X21" s="64"/>
      <c r="Y21" s="64"/>
      <c r="Z21" s="64"/>
      <c r="AA21" s="64"/>
      <c r="AB21" s="64"/>
      <c r="AC21" s="64"/>
      <c r="AD21" s="64"/>
    </row>
    <row r="22" spans="1:30" x14ac:dyDescent="0.25">
      <c r="A22" s="137"/>
      <c r="B22" s="64"/>
      <c r="C22" s="64"/>
      <c r="D22" s="139"/>
      <c r="E22" s="71"/>
      <c r="F22" s="64"/>
      <c r="G22" s="64"/>
      <c r="H22" s="64"/>
      <c r="I22" s="138"/>
      <c r="J22" s="71"/>
      <c r="K22" s="71"/>
      <c r="L22" s="137"/>
      <c r="M22" s="64"/>
      <c r="N22" s="64"/>
      <c r="O22" s="64"/>
      <c r="P22" s="71"/>
      <c r="Q22" s="138"/>
      <c r="R22" s="138"/>
      <c r="S22" s="64"/>
      <c r="T22" s="64"/>
      <c r="U22" s="140"/>
      <c r="V22" s="64"/>
      <c r="W22" s="64"/>
      <c r="X22" s="64"/>
      <c r="Y22" s="64"/>
      <c r="Z22" s="64"/>
      <c r="AA22" s="64"/>
      <c r="AB22" s="64"/>
      <c r="AC22" s="64"/>
      <c r="AD22" s="64"/>
    </row>
    <row r="23" spans="1:30" x14ac:dyDescent="0.25">
      <c r="A23" s="137"/>
      <c r="B23" s="64"/>
      <c r="C23" s="64"/>
      <c r="D23" s="139"/>
      <c r="E23" s="71"/>
      <c r="F23" s="64"/>
      <c r="G23" s="64"/>
      <c r="H23" s="64"/>
      <c r="I23" s="138"/>
      <c r="J23" s="71"/>
      <c r="K23" s="71"/>
      <c r="L23" s="137"/>
      <c r="M23" s="64"/>
      <c r="N23" s="64"/>
      <c r="O23" s="64"/>
      <c r="P23" s="71"/>
      <c r="Q23" s="138"/>
      <c r="R23" s="138"/>
      <c r="S23" s="64"/>
      <c r="T23" s="64"/>
      <c r="U23" s="140"/>
      <c r="V23" s="64"/>
      <c r="W23" s="64"/>
      <c r="X23" s="64"/>
      <c r="Y23" s="64"/>
      <c r="Z23" s="64"/>
      <c r="AA23" s="64"/>
      <c r="AB23" s="64"/>
      <c r="AC23" s="64"/>
      <c r="AD23" s="64"/>
    </row>
    <row r="24" spans="1:30" x14ac:dyDescent="0.25">
      <c r="A24" s="137"/>
      <c r="B24" s="64"/>
      <c r="C24" s="64"/>
      <c r="D24" s="139"/>
      <c r="E24" s="71"/>
      <c r="F24" s="64"/>
      <c r="G24" s="64"/>
      <c r="H24" s="64"/>
      <c r="I24" s="138"/>
      <c r="J24" s="71"/>
      <c r="K24" s="71"/>
      <c r="L24" s="137"/>
      <c r="M24" s="64"/>
      <c r="N24" s="64"/>
      <c r="O24" s="64"/>
      <c r="P24" s="71"/>
      <c r="Q24" s="138"/>
      <c r="R24" s="138"/>
      <c r="S24" s="64"/>
      <c r="T24" s="64"/>
      <c r="U24" s="140"/>
      <c r="V24" s="64"/>
      <c r="W24" s="64"/>
      <c r="X24" s="64"/>
      <c r="Y24" s="64"/>
      <c r="Z24" s="64"/>
      <c r="AA24" s="64"/>
      <c r="AB24" s="64"/>
      <c r="AC24" s="64"/>
      <c r="AD24" s="64"/>
    </row>
    <row r="25" spans="1:30" x14ac:dyDescent="0.25">
      <c r="A25" s="137"/>
      <c r="B25" s="64"/>
      <c r="C25" s="64"/>
      <c r="D25" s="139"/>
      <c r="E25" s="71"/>
      <c r="F25" s="64"/>
      <c r="G25" s="64"/>
      <c r="H25" s="64"/>
      <c r="I25" s="138"/>
      <c r="J25" s="71"/>
      <c r="K25" s="71"/>
      <c r="L25" s="137"/>
      <c r="M25" s="64"/>
      <c r="N25" s="64"/>
      <c r="O25" s="64"/>
      <c r="P25" s="71"/>
      <c r="Q25" s="138"/>
      <c r="R25" s="138"/>
      <c r="S25" s="64"/>
      <c r="T25" s="64"/>
      <c r="U25" s="140"/>
      <c r="V25" s="64"/>
      <c r="W25" s="64"/>
      <c r="X25" s="64"/>
      <c r="Y25" s="64"/>
      <c r="Z25" s="64"/>
      <c r="AA25" s="64"/>
      <c r="AB25" s="64"/>
      <c r="AC25" s="64"/>
      <c r="AD25" s="64"/>
    </row>
    <row r="26" spans="1:30" x14ac:dyDescent="0.25">
      <c r="A26" s="137"/>
      <c r="B26" s="64"/>
      <c r="C26" s="418">
        <v>44255.5</v>
      </c>
      <c r="D26" s="139"/>
      <c r="E26" s="71"/>
      <c r="F26" s="64"/>
      <c r="G26" s="64"/>
      <c r="H26" s="64"/>
      <c r="I26" s="138"/>
      <c r="J26" s="71"/>
      <c r="K26" s="71"/>
      <c r="L26" s="137"/>
      <c r="M26" s="64"/>
      <c r="N26" s="64"/>
      <c r="O26" s="64"/>
      <c r="P26" s="71"/>
      <c r="Q26" s="138"/>
      <c r="R26" s="138"/>
      <c r="S26" s="64"/>
      <c r="T26" s="64"/>
      <c r="U26" s="140"/>
      <c r="V26" s="64"/>
      <c r="W26" s="64"/>
      <c r="X26" s="64"/>
      <c r="Y26" s="64"/>
      <c r="Z26" s="64"/>
      <c r="AA26" s="64"/>
      <c r="AB26" s="64"/>
      <c r="AC26" s="64"/>
      <c r="AD26" s="64"/>
    </row>
    <row r="27" spans="1:30" x14ac:dyDescent="0.25">
      <c r="A27" s="137"/>
      <c r="B27" s="64"/>
      <c r="C27" s="418">
        <v>44139.41</v>
      </c>
      <c r="D27" s="139"/>
      <c r="E27" s="71"/>
      <c r="F27" s="64"/>
      <c r="G27" s="64"/>
      <c r="H27" s="64"/>
      <c r="I27" s="138"/>
      <c r="J27" s="71"/>
      <c r="K27" s="71"/>
      <c r="L27" s="137"/>
      <c r="M27" s="64"/>
      <c r="N27" s="64"/>
      <c r="O27" s="64"/>
      <c r="P27" s="71"/>
      <c r="Q27" s="138"/>
      <c r="R27" s="138"/>
      <c r="S27" s="64"/>
      <c r="T27" s="64"/>
      <c r="U27" s="140"/>
      <c r="V27" s="64"/>
      <c r="W27" s="64"/>
      <c r="X27" s="64"/>
      <c r="Y27" s="64"/>
      <c r="Z27" s="64"/>
      <c r="AA27" s="64"/>
      <c r="AB27" s="64"/>
      <c r="AC27" s="64"/>
      <c r="AD27" s="64"/>
    </row>
    <row r="28" spans="1:30" x14ac:dyDescent="0.25">
      <c r="A28" s="137"/>
      <c r="B28" s="64"/>
      <c r="C28" s="64"/>
      <c r="D28" s="139"/>
      <c r="E28" s="71"/>
      <c r="F28" s="64"/>
      <c r="G28" s="64"/>
      <c r="H28" s="64"/>
      <c r="I28" s="138"/>
      <c r="J28" s="71"/>
      <c r="K28" s="71"/>
      <c r="L28" s="137"/>
      <c r="M28" s="64"/>
      <c r="N28" s="64"/>
      <c r="O28" s="64"/>
      <c r="P28" s="71"/>
      <c r="Q28" s="138"/>
      <c r="R28" s="138"/>
      <c r="S28" s="64"/>
      <c r="T28" s="64"/>
      <c r="U28" s="140"/>
      <c r="V28" s="64"/>
      <c r="W28" s="64"/>
      <c r="X28" s="64"/>
      <c r="Y28" s="64"/>
      <c r="Z28" s="64"/>
      <c r="AA28" s="64"/>
      <c r="AB28" s="64"/>
      <c r="AC28" s="64"/>
      <c r="AD28" s="64"/>
    </row>
    <row r="29" spans="1:30" x14ac:dyDescent="0.25">
      <c r="A29" s="137"/>
      <c r="B29" s="64"/>
      <c r="C29" s="64"/>
      <c r="D29" s="139"/>
      <c r="E29" s="71"/>
      <c r="F29" s="64"/>
      <c r="G29" s="64"/>
      <c r="H29" s="64"/>
      <c r="I29" s="138"/>
      <c r="J29" s="71"/>
      <c r="K29" s="71"/>
      <c r="L29" s="137"/>
      <c r="M29" s="64"/>
      <c r="N29" s="64"/>
      <c r="O29" s="64"/>
      <c r="P29" s="71"/>
      <c r="Q29" s="138"/>
      <c r="R29" s="138"/>
      <c r="S29" s="64"/>
      <c r="T29" s="64"/>
      <c r="U29" s="140"/>
      <c r="V29" s="64"/>
      <c r="W29" s="64"/>
      <c r="X29" s="64"/>
      <c r="Y29" s="64"/>
      <c r="Z29" s="64"/>
      <c r="AA29" s="64"/>
      <c r="AB29" s="64"/>
      <c r="AC29" s="64"/>
      <c r="AD29" s="64"/>
    </row>
    <row r="30" spans="1:30" x14ac:dyDescent="0.25">
      <c r="A30" s="137"/>
      <c r="B30" s="64"/>
      <c r="C30" s="64"/>
      <c r="D30" s="139"/>
      <c r="E30" s="71"/>
      <c r="F30" s="64"/>
      <c r="G30" s="64"/>
      <c r="H30" s="64"/>
      <c r="I30" s="138"/>
      <c r="J30" s="71"/>
      <c r="K30" s="71"/>
      <c r="L30" s="137"/>
      <c r="M30" s="64"/>
      <c r="N30" s="64"/>
      <c r="O30" s="64"/>
      <c r="P30" s="71"/>
      <c r="Q30" s="138"/>
      <c r="R30" s="138"/>
      <c r="S30" s="64"/>
      <c r="T30" s="64"/>
      <c r="U30" s="140"/>
      <c r="V30" s="64"/>
      <c r="W30" s="64"/>
      <c r="X30" s="64"/>
      <c r="Y30" s="64"/>
      <c r="Z30" s="64"/>
      <c r="AA30" s="64"/>
      <c r="AB30" s="64"/>
      <c r="AC30" s="64"/>
      <c r="AD30" s="64"/>
    </row>
    <row r="31" spans="1:30" x14ac:dyDescent="0.25">
      <c r="A31" s="137"/>
      <c r="B31" s="64"/>
      <c r="C31" s="64"/>
      <c r="D31" s="139"/>
      <c r="E31" s="71"/>
      <c r="F31" s="64"/>
      <c r="G31" s="64"/>
      <c r="H31" s="64"/>
      <c r="I31" s="138"/>
      <c r="J31" s="71"/>
      <c r="K31" s="71"/>
      <c r="L31" s="137"/>
      <c r="M31" s="64"/>
      <c r="N31" s="64"/>
      <c r="O31" s="64"/>
      <c r="P31" s="71"/>
      <c r="Q31" s="138"/>
      <c r="R31" s="138"/>
      <c r="S31" s="64"/>
      <c r="T31" s="241">
        <f>'Titolo 2'!B3</f>
        <v>293005.84999999998</v>
      </c>
      <c r="U31" s="140"/>
      <c r="V31" s="64"/>
      <c r="W31" s="64"/>
      <c r="X31" s="64"/>
      <c r="Y31" s="64"/>
      <c r="Z31" s="64"/>
      <c r="AA31" s="64"/>
      <c r="AB31" s="64"/>
      <c r="AC31" s="64"/>
      <c r="AD31" s="64"/>
    </row>
    <row r="32" spans="1:30" x14ac:dyDescent="0.25">
      <c r="A32" s="143">
        <f t="shared" ref="A32:R32" si="1">SUM(A12:A31)</f>
        <v>0</v>
      </c>
      <c r="B32" s="144">
        <f t="shared" si="1"/>
        <v>0</v>
      </c>
      <c r="C32" s="144">
        <f t="shared" si="1"/>
        <v>154477.54999999999</v>
      </c>
      <c r="D32" s="145">
        <f t="shared" si="1"/>
        <v>0</v>
      </c>
      <c r="E32" s="144">
        <f t="shared" si="1"/>
        <v>0</v>
      </c>
      <c r="F32" s="144">
        <f t="shared" si="1"/>
        <v>0</v>
      </c>
      <c r="G32" s="144">
        <f t="shared" si="1"/>
        <v>0</v>
      </c>
      <c r="H32" s="144">
        <f t="shared" si="1"/>
        <v>0</v>
      </c>
      <c r="I32" s="170">
        <f t="shared" si="1"/>
        <v>179089.63</v>
      </c>
      <c r="J32" s="144">
        <f t="shared" si="1"/>
        <v>2537.6</v>
      </c>
      <c r="K32" s="144">
        <f t="shared" si="1"/>
        <v>0</v>
      </c>
      <c r="L32" s="143">
        <f t="shared" si="1"/>
        <v>0</v>
      </c>
      <c r="M32" s="144">
        <f t="shared" si="1"/>
        <v>45295.979999999996</v>
      </c>
      <c r="N32" s="144">
        <f t="shared" si="1"/>
        <v>0</v>
      </c>
      <c r="O32" s="144">
        <f t="shared" si="1"/>
        <v>0</v>
      </c>
      <c r="P32" s="144">
        <f t="shared" si="1"/>
        <v>0</v>
      </c>
      <c r="Q32" s="146">
        <f t="shared" si="1"/>
        <v>0</v>
      </c>
      <c r="R32" s="146">
        <f t="shared" si="1"/>
        <v>0</v>
      </c>
      <c r="S32" s="153">
        <f>SUM(A32:R32)</f>
        <v>381400.75999999995</v>
      </c>
      <c r="T32" s="153" t="s">
        <v>256</v>
      </c>
      <c r="U32" s="149"/>
      <c r="V32" s="64"/>
      <c r="W32" s="64"/>
      <c r="X32" s="64"/>
      <c r="Y32" s="64"/>
      <c r="Z32" s="64"/>
      <c r="AA32" s="64"/>
      <c r="AB32" s="64"/>
      <c r="AC32" s="64"/>
      <c r="AD32" s="64"/>
    </row>
    <row r="33" spans="1:30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166" t="s">
        <v>463</v>
      </c>
      <c r="U33" s="140"/>
      <c r="V33" s="64"/>
      <c r="W33" s="64"/>
      <c r="X33" s="64"/>
      <c r="Y33" s="64"/>
      <c r="Z33" s="64"/>
      <c r="AA33" s="64"/>
      <c r="AB33" s="64"/>
      <c r="AC33" s="64"/>
      <c r="AD33" s="64"/>
    </row>
    <row r="34" spans="1:30" ht="18.75" x14ac:dyDescent="0.3">
      <c r="A34" s="64"/>
      <c r="B34" s="64"/>
      <c r="C34" s="64"/>
      <c r="D34" s="152" t="s">
        <v>251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40"/>
      <c r="V34" s="64"/>
      <c r="W34" s="64"/>
      <c r="X34" s="64"/>
      <c r="Y34" s="64"/>
      <c r="Z34" s="64"/>
      <c r="AA34" s="64"/>
      <c r="AB34" s="64"/>
      <c r="AC34" s="64"/>
      <c r="AD34" s="64"/>
    </row>
    <row r="35" spans="1:30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140"/>
      <c r="V35" s="64"/>
      <c r="W35" s="64"/>
      <c r="X35" s="64"/>
      <c r="Y35" s="64"/>
      <c r="Z35" s="64"/>
      <c r="AA35" s="64"/>
      <c r="AB35" s="64"/>
      <c r="AC35" s="64"/>
      <c r="AD35" s="64"/>
    </row>
    <row r="36" spans="1:30" x14ac:dyDescent="0.25">
      <c r="A36" s="116" t="s">
        <v>225</v>
      </c>
      <c r="B36" s="117"/>
      <c r="C36" s="117"/>
      <c r="D36" s="117"/>
      <c r="E36" s="116" t="s">
        <v>593</v>
      </c>
      <c r="F36" s="118"/>
      <c r="G36" s="118"/>
      <c r="H36" s="118"/>
      <c r="I36" s="119" t="s">
        <v>226</v>
      </c>
      <c r="J36" s="116" t="s">
        <v>227</v>
      </c>
      <c r="K36" s="120"/>
      <c r="L36" s="121" t="s">
        <v>228</v>
      </c>
      <c r="M36" s="118"/>
      <c r="N36" s="118"/>
      <c r="O36" s="118"/>
      <c r="P36" s="122"/>
      <c r="Q36" s="117" t="s">
        <v>229</v>
      </c>
      <c r="R36" s="119" t="s">
        <v>230</v>
      </c>
      <c r="U36" s="123"/>
    </row>
    <row r="37" spans="1:30" x14ac:dyDescent="0.25">
      <c r="A37" s="124" t="s">
        <v>18</v>
      </c>
      <c r="B37" s="72" t="s">
        <v>20</v>
      </c>
      <c r="C37" s="72" t="s">
        <v>22</v>
      </c>
      <c r="D37" s="72" t="s">
        <v>231</v>
      </c>
      <c r="E37" s="124" t="s">
        <v>18</v>
      </c>
      <c r="F37" s="125" t="s">
        <v>20</v>
      </c>
      <c r="G37" s="125" t="s">
        <v>594</v>
      </c>
      <c r="H37" s="125" t="s">
        <v>22</v>
      </c>
      <c r="I37" s="126" t="s">
        <v>232</v>
      </c>
      <c r="J37" s="124" t="s">
        <v>231</v>
      </c>
      <c r="K37" s="127" t="s">
        <v>233</v>
      </c>
      <c r="L37" s="125" t="s">
        <v>234</v>
      </c>
      <c r="M37" s="125" t="s">
        <v>235</v>
      </c>
      <c r="N37" s="125" t="s">
        <v>236</v>
      </c>
      <c r="O37" s="125" t="s">
        <v>237</v>
      </c>
      <c r="P37" s="128" t="s">
        <v>231</v>
      </c>
      <c r="Q37" s="125" t="s">
        <v>81</v>
      </c>
      <c r="R37" s="129" t="s">
        <v>238</v>
      </c>
      <c r="U37" s="123"/>
    </row>
    <row r="38" spans="1:30" s="72" customFormat="1" x14ac:dyDescent="0.25">
      <c r="A38" s="130"/>
      <c r="B38" s="131"/>
      <c r="C38" s="131"/>
      <c r="D38" s="131"/>
      <c r="E38" s="130" t="s">
        <v>239</v>
      </c>
      <c r="F38" s="132" t="s">
        <v>239</v>
      </c>
      <c r="G38" s="132" t="s">
        <v>595</v>
      </c>
      <c r="H38" s="132"/>
      <c r="I38" s="133"/>
      <c r="J38" s="130" t="s">
        <v>240</v>
      </c>
      <c r="K38" s="134"/>
      <c r="L38" s="132" t="s">
        <v>241</v>
      </c>
      <c r="M38" s="132" t="s">
        <v>242</v>
      </c>
      <c r="N38" s="132" t="s">
        <v>243</v>
      </c>
      <c r="O38" s="132" t="s">
        <v>244</v>
      </c>
      <c r="P38" s="135" t="s">
        <v>245</v>
      </c>
      <c r="Q38" s="130"/>
      <c r="R38" s="136"/>
      <c r="S38" s="125"/>
    </row>
    <row r="39" spans="1:30" s="72" customFormat="1" x14ac:dyDescent="0.25">
      <c r="A39" s="137"/>
      <c r="B39" s="71"/>
      <c r="C39" s="71"/>
      <c r="D39" s="71"/>
      <c r="E39" s="137"/>
      <c r="F39" s="115"/>
      <c r="G39" s="115"/>
      <c r="H39" s="115"/>
      <c r="I39" s="154"/>
      <c r="J39" s="137"/>
      <c r="K39" s="150"/>
      <c r="L39" s="115"/>
      <c r="M39" s="115"/>
      <c r="N39" s="115"/>
      <c r="O39" s="115"/>
      <c r="P39" s="155"/>
      <c r="Q39" s="137"/>
      <c r="R39" s="138"/>
      <c r="S39" s="125"/>
    </row>
    <row r="40" spans="1:30" s="72" customFormat="1" x14ac:dyDescent="0.25">
      <c r="A40" s="137">
        <v>6155.43</v>
      </c>
      <c r="B40" s="71"/>
      <c r="C40" s="71">
        <v>167589.99</v>
      </c>
      <c r="D40" s="71">
        <v>7662.34</v>
      </c>
      <c r="E40" s="137"/>
      <c r="F40" s="115">
        <v>36308.76</v>
      </c>
      <c r="G40" s="115"/>
      <c r="H40" s="115"/>
      <c r="I40" s="154"/>
      <c r="J40" s="137">
        <v>27699.19</v>
      </c>
      <c r="K40" s="139"/>
      <c r="L40" s="115">
        <v>4045.75</v>
      </c>
      <c r="M40" s="115">
        <v>15947.93</v>
      </c>
      <c r="N40" s="115">
        <v>750.57</v>
      </c>
      <c r="O40" s="115">
        <v>5272.3</v>
      </c>
      <c r="P40" s="155"/>
      <c r="Q40" s="137"/>
      <c r="R40" s="138"/>
      <c r="S40" s="125"/>
    </row>
    <row r="41" spans="1:30" s="72" customFormat="1" x14ac:dyDescent="0.25">
      <c r="A41" s="137"/>
      <c r="B41" s="71"/>
      <c r="C41" s="71"/>
      <c r="D41" s="71"/>
      <c r="E41" s="137"/>
      <c r="F41" s="115"/>
      <c r="G41" s="115"/>
      <c r="H41" s="115"/>
      <c r="I41" s="154"/>
      <c r="J41" s="137">
        <v>561.20000000000005</v>
      </c>
      <c r="K41" s="139"/>
      <c r="L41" s="115"/>
      <c r="M41" s="115"/>
      <c r="N41" s="115"/>
      <c r="O41" s="115"/>
      <c r="P41" s="155"/>
      <c r="Q41" s="137"/>
      <c r="R41" s="138"/>
      <c r="S41" s="125"/>
    </row>
    <row r="42" spans="1:30" s="72" customFormat="1" x14ac:dyDescent="0.25">
      <c r="A42" s="156"/>
      <c r="B42" s="157"/>
      <c r="C42" s="157"/>
      <c r="D42" s="157"/>
      <c r="E42" s="156"/>
      <c r="F42" s="158"/>
      <c r="G42" s="158"/>
      <c r="H42" s="158"/>
      <c r="I42" s="159"/>
      <c r="J42" s="156"/>
      <c r="K42" s="160"/>
      <c r="L42" s="158"/>
      <c r="M42" s="158"/>
      <c r="N42" s="158"/>
      <c r="O42" s="158"/>
      <c r="P42" s="161"/>
      <c r="Q42" s="156"/>
      <c r="R42" s="162"/>
      <c r="S42" s="125"/>
    </row>
    <row r="43" spans="1:30" x14ac:dyDescent="0.25">
      <c r="A43" s="143">
        <f>SUM(A39:A42)</f>
        <v>6155.43</v>
      </c>
      <c r="B43" s="144">
        <f t="shared" ref="B43:J43" si="2">SUM(B39:B42)</f>
        <v>0</v>
      </c>
      <c r="C43" s="144">
        <f t="shared" si="2"/>
        <v>167589.99</v>
      </c>
      <c r="D43" s="144">
        <f t="shared" si="2"/>
        <v>7662.34</v>
      </c>
      <c r="E43" s="143">
        <f t="shared" si="2"/>
        <v>0</v>
      </c>
      <c r="F43" s="144">
        <f t="shared" si="2"/>
        <v>36308.76</v>
      </c>
      <c r="G43" s="144">
        <f t="shared" si="2"/>
        <v>0</v>
      </c>
      <c r="H43" s="144">
        <f t="shared" si="2"/>
        <v>0</v>
      </c>
      <c r="I43" s="163"/>
      <c r="J43" s="143">
        <f t="shared" si="2"/>
        <v>28260.39</v>
      </c>
      <c r="K43" s="164"/>
      <c r="L43" s="143">
        <f t="shared" ref="L43:P43" si="3">SUM(L39:L42)</f>
        <v>4045.75</v>
      </c>
      <c r="M43" s="144">
        <f t="shared" si="3"/>
        <v>15947.93</v>
      </c>
      <c r="N43" s="144">
        <f t="shared" si="3"/>
        <v>750.57</v>
      </c>
      <c r="O43" s="144">
        <f t="shared" si="3"/>
        <v>5272.3</v>
      </c>
      <c r="P43" s="144">
        <f t="shared" si="3"/>
        <v>0</v>
      </c>
      <c r="Q43" s="163"/>
      <c r="R43" s="165"/>
      <c r="S43" s="147">
        <f>SUM(A43:R43)</f>
        <v>271993.45999999996</v>
      </c>
      <c r="T43" s="147" t="s">
        <v>252</v>
      </c>
      <c r="U43" s="149"/>
      <c r="V43" s="64"/>
      <c r="W43" s="64"/>
      <c r="X43" s="64"/>
      <c r="Y43" s="64"/>
      <c r="Z43" s="64"/>
      <c r="AA43" s="64"/>
      <c r="AB43" s="64"/>
      <c r="AC43" s="64"/>
      <c r="AD43" s="64"/>
    </row>
    <row r="44" spans="1:30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</row>
    <row r="45" spans="1:30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</row>
    <row r="46" spans="1:30" s="72" customFormat="1" ht="18.75" x14ac:dyDescent="0.3">
      <c r="A46" s="71"/>
      <c r="B46" s="71"/>
      <c r="C46" s="71"/>
      <c r="D46" s="114" t="s">
        <v>253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115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 s="72" customFormat="1" x14ac:dyDescent="0.2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115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 x14ac:dyDescent="0.25">
      <c r="A48" s="116" t="s">
        <v>225</v>
      </c>
      <c r="B48" s="117"/>
      <c r="C48" s="117"/>
      <c r="D48" s="117"/>
      <c r="E48" s="116" t="s">
        <v>593</v>
      </c>
      <c r="F48" s="118"/>
      <c r="G48" s="118"/>
      <c r="H48" s="118"/>
      <c r="I48" s="119" t="s">
        <v>226</v>
      </c>
      <c r="J48" s="116" t="s">
        <v>227</v>
      </c>
      <c r="K48" s="120"/>
      <c r="L48" s="121" t="s">
        <v>228</v>
      </c>
      <c r="M48" s="118"/>
      <c r="N48" s="118"/>
      <c r="O48" s="118"/>
      <c r="P48" s="122"/>
      <c r="Q48" s="117" t="s">
        <v>229</v>
      </c>
      <c r="R48" s="119" t="s">
        <v>230</v>
      </c>
      <c r="U48" s="123"/>
    </row>
    <row r="49" spans="1:30" x14ac:dyDescent="0.25">
      <c r="A49" s="124" t="s">
        <v>18</v>
      </c>
      <c r="B49" s="72" t="s">
        <v>20</v>
      </c>
      <c r="C49" s="72" t="s">
        <v>22</v>
      </c>
      <c r="D49" s="72" t="s">
        <v>231</v>
      </c>
      <c r="E49" s="124" t="s">
        <v>18</v>
      </c>
      <c r="F49" s="125" t="s">
        <v>20</v>
      </c>
      <c r="G49" s="125" t="s">
        <v>594</v>
      </c>
      <c r="H49" s="125" t="s">
        <v>22</v>
      </c>
      <c r="I49" s="126" t="s">
        <v>232</v>
      </c>
      <c r="J49" s="124" t="s">
        <v>231</v>
      </c>
      <c r="K49" s="127" t="s">
        <v>233</v>
      </c>
      <c r="L49" s="125" t="s">
        <v>234</v>
      </c>
      <c r="M49" s="125" t="s">
        <v>235</v>
      </c>
      <c r="N49" s="125" t="s">
        <v>236</v>
      </c>
      <c r="O49" s="125" t="s">
        <v>237</v>
      </c>
      <c r="P49" s="128" t="s">
        <v>231</v>
      </c>
      <c r="Q49" s="125" t="s">
        <v>81</v>
      </c>
      <c r="R49" s="129" t="s">
        <v>238</v>
      </c>
      <c r="U49" s="123"/>
    </row>
    <row r="50" spans="1:30" s="72" customFormat="1" x14ac:dyDescent="0.25">
      <c r="A50" s="130"/>
      <c r="B50" s="131"/>
      <c r="C50" s="131"/>
      <c r="D50" s="131"/>
      <c r="E50" s="130" t="s">
        <v>239</v>
      </c>
      <c r="F50" s="132" t="s">
        <v>239</v>
      </c>
      <c r="G50" s="132" t="s">
        <v>595</v>
      </c>
      <c r="H50" s="132"/>
      <c r="I50" s="133"/>
      <c r="J50" s="130" t="s">
        <v>240</v>
      </c>
      <c r="K50" s="134"/>
      <c r="L50" s="132" t="s">
        <v>241</v>
      </c>
      <c r="M50" s="132" t="s">
        <v>242</v>
      </c>
      <c r="N50" s="132" t="s">
        <v>243</v>
      </c>
      <c r="O50" s="132" t="s">
        <v>244</v>
      </c>
      <c r="P50" s="135" t="s">
        <v>245</v>
      </c>
      <c r="Q50" s="130"/>
      <c r="R50" s="136"/>
      <c r="S50" s="125"/>
    </row>
    <row r="51" spans="1:30" x14ac:dyDescent="0.25">
      <c r="A51" s="137"/>
      <c r="B51" s="64"/>
      <c r="C51" s="64"/>
      <c r="D51" s="64"/>
      <c r="E51" s="137"/>
      <c r="F51" s="64"/>
      <c r="G51" s="64"/>
      <c r="H51" s="64"/>
      <c r="I51" s="169">
        <f>S32-I32-R32</f>
        <v>202311.12999999995</v>
      </c>
      <c r="J51" s="137"/>
      <c r="K51" s="150"/>
      <c r="L51" s="64"/>
      <c r="M51" s="64"/>
      <c r="N51" s="64"/>
      <c r="O51" s="64"/>
      <c r="P51" s="139"/>
      <c r="Q51" s="64"/>
      <c r="R51" s="264">
        <f>'Variazioni immobilizzazioni CF'!R30</f>
        <v>0</v>
      </c>
      <c r="S51" s="64"/>
      <c r="T51" s="64"/>
      <c r="U51" s="140"/>
      <c r="V51" s="64"/>
      <c r="W51" s="64"/>
      <c r="X51" s="64"/>
      <c r="Y51" s="64"/>
      <c r="Z51" s="64"/>
      <c r="AA51" s="64"/>
      <c r="AB51" s="64"/>
      <c r="AC51" s="64"/>
      <c r="AD51" s="64"/>
    </row>
    <row r="52" spans="1:30" x14ac:dyDescent="0.25">
      <c r="A52" s="137"/>
      <c r="B52" s="64"/>
      <c r="C52" s="64"/>
      <c r="D52" s="64"/>
      <c r="E52" s="137"/>
      <c r="F52" s="64"/>
      <c r="G52" s="64"/>
      <c r="H52" s="64"/>
      <c r="I52" s="242">
        <f>'Titolo 2'!B4</f>
        <v>0</v>
      </c>
      <c r="J52" s="137"/>
      <c r="K52" s="139"/>
      <c r="L52" s="64"/>
      <c r="M52" s="64"/>
      <c r="N52" s="64"/>
      <c r="O52" s="64"/>
      <c r="P52" s="139"/>
      <c r="Q52" s="64"/>
      <c r="R52" s="264">
        <f>R32</f>
        <v>0</v>
      </c>
      <c r="S52" s="64"/>
      <c r="T52" s="64"/>
      <c r="U52" s="140"/>
      <c r="V52" s="64"/>
      <c r="W52" s="64"/>
      <c r="X52" s="64"/>
      <c r="Y52" s="64"/>
      <c r="Z52" s="64"/>
      <c r="AA52" s="64"/>
      <c r="AB52" s="64"/>
      <c r="AC52" s="64"/>
      <c r="AD52" s="64"/>
    </row>
    <row r="53" spans="1:30" x14ac:dyDescent="0.25">
      <c r="A53" s="137"/>
      <c r="B53" s="64"/>
      <c r="C53" s="64"/>
      <c r="D53" s="64"/>
      <c r="E53" s="137"/>
      <c r="F53" s="64"/>
      <c r="G53" s="64"/>
      <c r="H53" s="64"/>
      <c r="I53" s="138"/>
      <c r="J53" s="137"/>
      <c r="K53" s="139"/>
      <c r="L53" s="64"/>
      <c r="M53" s="64"/>
      <c r="N53" s="64"/>
      <c r="O53" s="64"/>
      <c r="P53" s="139"/>
      <c r="Q53" s="64"/>
      <c r="R53" s="138"/>
      <c r="S53" s="64"/>
      <c r="T53" s="64"/>
      <c r="U53" s="140"/>
      <c r="V53" s="64"/>
      <c r="W53" s="64"/>
      <c r="X53" s="64"/>
      <c r="Y53" s="64"/>
      <c r="Z53" s="64"/>
      <c r="AA53" s="64"/>
      <c r="AB53" s="64"/>
      <c r="AC53" s="64"/>
      <c r="AD53" s="64"/>
    </row>
    <row r="54" spans="1:30" x14ac:dyDescent="0.25">
      <c r="A54" s="143">
        <f t="shared" ref="A54:R54" si="4">SUM(A51:A53)</f>
        <v>0</v>
      </c>
      <c r="B54" s="144">
        <f t="shared" si="4"/>
        <v>0</v>
      </c>
      <c r="C54" s="144">
        <f t="shared" si="4"/>
        <v>0</v>
      </c>
      <c r="D54" s="145">
        <f t="shared" si="4"/>
        <v>0</v>
      </c>
      <c r="E54" s="143">
        <f t="shared" si="4"/>
        <v>0</v>
      </c>
      <c r="F54" s="144">
        <f t="shared" si="4"/>
        <v>0</v>
      </c>
      <c r="G54" s="144">
        <f t="shared" si="4"/>
        <v>0</v>
      </c>
      <c r="H54" s="145">
        <f t="shared" si="4"/>
        <v>0</v>
      </c>
      <c r="I54" s="143">
        <f t="shared" si="4"/>
        <v>202311.12999999995</v>
      </c>
      <c r="J54" s="143">
        <f t="shared" si="4"/>
        <v>0</v>
      </c>
      <c r="K54" s="145">
        <f t="shared" si="4"/>
        <v>0</v>
      </c>
      <c r="L54" s="144">
        <f t="shared" si="4"/>
        <v>0</v>
      </c>
      <c r="M54" s="144">
        <f t="shared" si="4"/>
        <v>0</v>
      </c>
      <c r="N54" s="144">
        <f t="shared" si="4"/>
        <v>0</v>
      </c>
      <c r="O54" s="144">
        <f t="shared" si="4"/>
        <v>0</v>
      </c>
      <c r="P54" s="145">
        <f t="shared" si="4"/>
        <v>0</v>
      </c>
      <c r="Q54" s="143">
        <f t="shared" si="4"/>
        <v>0</v>
      </c>
      <c r="R54" s="146">
        <f t="shared" si="4"/>
        <v>0</v>
      </c>
      <c r="S54" s="147">
        <f>SUM(A54:R54)</f>
        <v>202311.12999999995</v>
      </c>
      <c r="T54" s="147" t="s">
        <v>254</v>
      </c>
      <c r="U54" s="149"/>
      <c r="V54" s="64"/>
      <c r="W54" s="64"/>
      <c r="X54" s="64"/>
      <c r="Y54" s="64"/>
      <c r="Z54" s="64"/>
      <c r="AA54" s="64"/>
      <c r="AB54" s="64"/>
      <c r="AC54" s="64"/>
      <c r="AD54" s="64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02"/>
  <sheetViews>
    <sheetView tabSelected="1" zoomScaleNormal="100" workbookViewId="0">
      <selection activeCell="D7" sqref="D7"/>
    </sheetView>
  </sheetViews>
  <sheetFormatPr defaultRowHeight="12.75" x14ac:dyDescent="0.2"/>
  <cols>
    <col min="1" max="1" width="2.7109375" style="2" bestFit="1" customWidth="1"/>
    <col min="2" max="2" width="5.42578125" style="1" customWidth="1"/>
    <col min="3" max="3" width="2" style="1" bestFit="1" customWidth="1"/>
    <col min="4" max="4" width="57" style="1" customWidth="1"/>
    <col min="5" max="5" width="15.7109375" style="1" hidden="1" customWidth="1"/>
    <col min="6" max="6" width="14.42578125" style="1" hidden="1" customWidth="1"/>
    <col min="7" max="7" width="16" style="1" hidden="1" customWidth="1"/>
    <col min="8" max="8" width="13.42578125" style="1" hidden="1" customWidth="1"/>
    <col min="9" max="9" width="16" style="1" hidden="1" customWidth="1"/>
    <col min="10" max="11" width="15.7109375" style="1" customWidth="1"/>
    <col min="12" max="16384" width="9.140625" style="1"/>
  </cols>
  <sheetData>
    <row r="1" spans="1:11" ht="21" x14ac:dyDescent="0.35">
      <c r="A1" s="513" t="s">
        <v>710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</row>
    <row r="2" spans="1:11" ht="13.5" thickBot="1" x14ac:dyDescent="0.25"/>
    <row r="3" spans="1:11" ht="12.75" customHeight="1" thickTop="1" x14ac:dyDescent="0.25">
      <c r="A3" s="3"/>
      <c r="B3" s="4"/>
      <c r="C3" s="5"/>
      <c r="D3" s="518" t="s">
        <v>0</v>
      </c>
      <c r="E3" s="520">
        <v>2024</v>
      </c>
      <c r="F3" s="107"/>
      <c r="G3" s="107"/>
      <c r="H3" s="107"/>
      <c r="I3" s="49"/>
      <c r="J3" s="520">
        <v>2025</v>
      </c>
      <c r="K3" s="523">
        <v>2024</v>
      </c>
    </row>
    <row r="4" spans="1:11" ht="39" thickBot="1" x14ac:dyDescent="0.3">
      <c r="A4" s="6"/>
      <c r="B4" s="7"/>
      <c r="C4" s="8"/>
      <c r="D4" s="519"/>
      <c r="E4" s="521"/>
      <c r="F4" s="103" t="s">
        <v>215</v>
      </c>
      <c r="G4" s="103" t="s">
        <v>216</v>
      </c>
      <c r="H4" s="103" t="s">
        <v>217</v>
      </c>
      <c r="I4" s="296" t="s">
        <v>218</v>
      </c>
      <c r="J4" s="522"/>
      <c r="K4" s="524"/>
    </row>
    <row r="5" spans="1:11" ht="30.75" thickTop="1" x14ac:dyDescent="0.25">
      <c r="A5" s="9"/>
      <c r="B5" s="10"/>
      <c r="C5" s="11"/>
      <c r="D5" s="12" t="s">
        <v>1</v>
      </c>
      <c r="E5" s="97">
        <v>0</v>
      </c>
      <c r="F5" s="104">
        <v>0</v>
      </c>
      <c r="G5" s="104">
        <v>0</v>
      </c>
      <c r="H5" s="104">
        <v>0</v>
      </c>
      <c r="I5" s="288">
        <v>0</v>
      </c>
      <c r="J5" s="297">
        <f>E5+F5-G5+H5-I5</f>
        <v>0</v>
      </c>
      <c r="K5" s="235">
        <f>E5</f>
        <v>0</v>
      </c>
    </row>
    <row r="6" spans="1:11" ht="15.75" thickBot="1" x14ac:dyDescent="0.3">
      <c r="A6" s="9"/>
      <c r="B6" s="10"/>
      <c r="C6" s="11"/>
      <c r="D6" s="12"/>
      <c r="E6" s="98"/>
      <c r="F6" s="105"/>
      <c r="G6" s="105"/>
      <c r="H6" s="105"/>
      <c r="I6" s="289"/>
      <c r="J6" s="298"/>
      <c r="K6" s="236"/>
    </row>
    <row r="7" spans="1:11" ht="15.75" thickBot="1" x14ac:dyDescent="0.3">
      <c r="A7" s="9"/>
      <c r="B7" s="10"/>
      <c r="C7" s="11"/>
      <c r="D7" s="13" t="s">
        <v>2</v>
      </c>
      <c r="E7" s="168">
        <f t="shared" ref="E7:J7" si="0">E5</f>
        <v>0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177">
        <f t="shared" si="0"/>
        <v>0</v>
      </c>
      <c r="J7" s="299">
        <f t="shared" si="0"/>
        <v>0</v>
      </c>
      <c r="K7" s="232">
        <f t="shared" ref="K7" si="1">K5</f>
        <v>0</v>
      </c>
    </row>
    <row r="8" spans="1:11" ht="15" x14ac:dyDescent="0.25">
      <c r="A8" s="9"/>
      <c r="B8" s="10"/>
      <c r="C8" s="11"/>
      <c r="D8" s="14" t="s">
        <v>3</v>
      </c>
      <c r="E8" s="99"/>
      <c r="F8" s="59"/>
      <c r="G8" s="59"/>
      <c r="H8" s="59"/>
      <c r="I8" s="290"/>
      <c r="J8" s="300"/>
      <c r="K8" s="53"/>
    </row>
    <row r="9" spans="1:11" ht="15" x14ac:dyDescent="0.25">
      <c r="A9" s="9" t="s">
        <v>4</v>
      </c>
      <c r="B9" s="10"/>
      <c r="C9" s="11"/>
      <c r="D9" s="15" t="s">
        <v>5</v>
      </c>
      <c r="E9" s="99"/>
      <c r="F9" s="59"/>
      <c r="G9" s="59"/>
      <c r="H9" s="59"/>
      <c r="I9" s="290"/>
      <c r="J9" s="300"/>
      <c r="K9" s="53"/>
    </row>
    <row r="10" spans="1:11" ht="15" x14ac:dyDescent="0.25">
      <c r="A10" s="9"/>
      <c r="B10" s="10">
        <v>1</v>
      </c>
      <c r="C10" s="11"/>
      <c r="D10" s="10" t="s">
        <v>6</v>
      </c>
      <c r="E10" s="100">
        <v>0</v>
      </c>
      <c r="F10" s="57">
        <v>0</v>
      </c>
      <c r="G10" s="57">
        <v>0</v>
      </c>
      <c r="H10" s="57">
        <v>0</v>
      </c>
      <c r="I10" s="291">
        <v>0</v>
      </c>
      <c r="J10" s="301">
        <f t="shared" ref="J10:J16" si="2">E10+F10-G10+H10-I10</f>
        <v>0</v>
      </c>
      <c r="K10" s="54">
        <f>E10</f>
        <v>0</v>
      </c>
    </row>
    <row r="11" spans="1:11" ht="15" x14ac:dyDescent="0.25">
      <c r="A11" s="9"/>
      <c r="B11" s="10">
        <v>2</v>
      </c>
      <c r="C11" s="11"/>
      <c r="D11" s="10" t="s">
        <v>7</v>
      </c>
      <c r="E11" s="100">
        <v>0</v>
      </c>
      <c r="F11" s="57">
        <v>0</v>
      </c>
      <c r="G11" s="57">
        <v>0</v>
      </c>
      <c r="H11" s="57">
        <v>0</v>
      </c>
      <c r="I11" s="291">
        <v>0</v>
      </c>
      <c r="J11" s="301">
        <f t="shared" si="2"/>
        <v>0</v>
      </c>
      <c r="K11" s="54">
        <f t="shared" ref="K11:K16" si="3">E11</f>
        <v>0</v>
      </c>
    </row>
    <row r="12" spans="1:11" ht="15" x14ac:dyDescent="0.25">
      <c r="A12" s="9"/>
      <c r="B12" s="10">
        <v>3</v>
      </c>
      <c r="C12" s="11"/>
      <c r="D12" s="10" t="s">
        <v>8</v>
      </c>
      <c r="E12" s="100">
        <v>0</v>
      </c>
      <c r="F12" s="57">
        <v>0</v>
      </c>
      <c r="G12" s="57">
        <v>0</v>
      </c>
      <c r="H12" s="57">
        <v>0</v>
      </c>
      <c r="I12" s="291">
        <v>0</v>
      </c>
      <c r="J12" s="301">
        <f t="shared" si="2"/>
        <v>0</v>
      </c>
      <c r="K12" s="54">
        <f t="shared" si="3"/>
        <v>0</v>
      </c>
    </row>
    <row r="13" spans="1:11" ht="15" x14ac:dyDescent="0.25">
      <c r="A13" s="9"/>
      <c r="B13" s="10">
        <v>4</v>
      </c>
      <c r="C13" s="11"/>
      <c r="D13" s="10" t="s">
        <v>9</v>
      </c>
      <c r="E13" s="100">
        <v>0</v>
      </c>
      <c r="F13" s="57">
        <v>0</v>
      </c>
      <c r="G13" s="57">
        <v>0</v>
      </c>
      <c r="H13" s="57">
        <v>0</v>
      </c>
      <c r="I13" s="291">
        <v>0</v>
      </c>
      <c r="J13" s="301">
        <f t="shared" si="2"/>
        <v>0</v>
      </c>
      <c r="K13" s="54">
        <f t="shared" si="3"/>
        <v>0</v>
      </c>
    </row>
    <row r="14" spans="1:11" ht="15" x14ac:dyDescent="0.25">
      <c r="A14" s="9"/>
      <c r="B14" s="10">
        <v>5</v>
      </c>
      <c r="C14" s="11"/>
      <c r="D14" s="10" t="s">
        <v>10</v>
      </c>
      <c r="E14" s="100">
        <v>0</v>
      </c>
      <c r="F14" s="57">
        <v>0</v>
      </c>
      <c r="G14" s="57">
        <v>0</v>
      </c>
      <c r="H14" s="57">
        <v>0</v>
      </c>
      <c r="I14" s="291">
        <v>0</v>
      </c>
      <c r="J14" s="301">
        <f t="shared" si="2"/>
        <v>0</v>
      </c>
      <c r="K14" s="54">
        <f t="shared" si="3"/>
        <v>0</v>
      </c>
    </row>
    <row r="15" spans="1:11" ht="15" x14ac:dyDescent="0.25">
      <c r="A15" s="9"/>
      <c r="B15" s="10">
        <v>6</v>
      </c>
      <c r="C15" s="11"/>
      <c r="D15" s="10" t="s">
        <v>11</v>
      </c>
      <c r="E15" s="100">
        <f>Altre!C5</f>
        <v>0</v>
      </c>
      <c r="F15" s="57">
        <f>'Variazioni immobilizzazioni CF'!K30</f>
        <v>0</v>
      </c>
      <c r="G15" s="57">
        <f>'Variazioni immobilizzazioni CF'!K40</f>
        <v>0</v>
      </c>
      <c r="H15" s="57">
        <f>'Variazioni immobilizzazioni AC'!K11+'Variazioni immobilizzazioni AC'!K32</f>
        <v>0</v>
      </c>
      <c r="I15" s="291">
        <f>'Variazioni immobilizzazioni AC'!K54</f>
        <v>0</v>
      </c>
      <c r="J15" s="301">
        <f t="shared" si="2"/>
        <v>0</v>
      </c>
      <c r="K15" s="54">
        <f t="shared" si="3"/>
        <v>0</v>
      </c>
    </row>
    <row r="16" spans="1:11" ht="15" x14ac:dyDescent="0.25">
      <c r="A16" s="9"/>
      <c r="B16" s="10">
        <v>9</v>
      </c>
      <c r="C16" s="11"/>
      <c r="D16" s="16" t="s">
        <v>12</v>
      </c>
      <c r="E16" s="100">
        <f>Altre!C6</f>
        <v>109925.23</v>
      </c>
      <c r="F16" s="57">
        <f>'Variazioni immobilizzazioni CF'!J30</f>
        <v>4225.6000000000004</v>
      </c>
      <c r="G16" s="57">
        <f>'Variazioni immobilizzazioni CF'!J40</f>
        <v>0</v>
      </c>
      <c r="H16" s="57">
        <f>'Variazioni immobilizzazioni AC'!J11+'Variazioni immobilizzazioni AC'!J32</f>
        <v>2537.6</v>
      </c>
      <c r="I16" s="291">
        <f>'Variazioni immobilizzazioni AC'!J43+'Variazioni immobilizzazioni AC'!J54</f>
        <v>28260.39</v>
      </c>
      <c r="J16" s="301">
        <f t="shared" si="2"/>
        <v>88428.040000000008</v>
      </c>
      <c r="K16" s="54">
        <f t="shared" si="3"/>
        <v>109925.23</v>
      </c>
    </row>
    <row r="17" spans="1:11" ht="15" x14ac:dyDescent="0.25">
      <c r="A17" s="9"/>
      <c r="B17" s="10"/>
      <c r="C17" s="11"/>
      <c r="D17" s="17" t="s">
        <v>13</v>
      </c>
      <c r="E17" s="60">
        <f>SUM(E10:E16)</f>
        <v>109925.23</v>
      </c>
      <c r="F17" s="58">
        <f>SUM(F10:F16)</f>
        <v>4225.6000000000004</v>
      </c>
      <c r="G17" s="58">
        <f t="shared" ref="G17:I17" si="4">SUM(G10:G16)</f>
        <v>0</v>
      </c>
      <c r="H17" s="58">
        <f t="shared" si="4"/>
        <v>2537.6</v>
      </c>
      <c r="I17" s="292">
        <f t="shared" si="4"/>
        <v>28260.39</v>
      </c>
      <c r="J17" s="302">
        <f>SUM(J10:J16)</f>
        <v>88428.040000000008</v>
      </c>
      <c r="K17" s="55">
        <f>SUM(K10:K16)</f>
        <v>109925.23</v>
      </c>
    </row>
    <row r="18" spans="1:11" ht="15" x14ac:dyDescent="0.25">
      <c r="A18" s="9"/>
      <c r="B18" s="10"/>
      <c r="C18" s="11"/>
      <c r="D18" s="12"/>
      <c r="E18" s="99"/>
      <c r="F18" s="59"/>
      <c r="G18" s="59"/>
      <c r="H18" s="59"/>
      <c r="I18" s="290"/>
      <c r="J18" s="300"/>
      <c r="K18" s="53"/>
    </row>
    <row r="19" spans="1:11" ht="15" x14ac:dyDescent="0.25">
      <c r="A19" s="18"/>
      <c r="B19" s="16"/>
      <c r="C19" s="19"/>
      <c r="D19" s="20" t="s">
        <v>14</v>
      </c>
      <c r="E19" s="99"/>
      <c r="F19" s="59"/>
      <c r="G19" s="59"/>
      <c r="H19" s="59"/>
      <c r="I19" s="290"/>
      <c r="J19" s="300"/>
      <c r="K19" s="53"/>
    </row>
    <row r="20" spans="1:11" ht="15" x14ac:dyDescent="0.25">
      <c r="A20" s="18" t="s">
        <v>15</v>
      </c>
      <c r="B20" s="21">
        <v>1</v>
      </c>
      <c r="C20" s="19"/>
      <c r="D20" s="16" t="s">
        <v>16</v>
      </c>
      <c r="E20" s="101">
        <f>E21+E22+E23+E24</f>
        <v>4775451.18</v>
      </c>
      <c r="F20" s="56">
        <f>F21+F22+F23+F24</f>
        <v>164092.87</v>
      </c>
      <c r="G20" s="56">
        <f t="shared" ref="G20:I20" si="5">G21+G22+G23+G24</f>
        <v>0</v>
      </c>
      <c r="H20" s="56">
        <f t="shared" si="5"/>
        <v>154477.54999999999</v>
      </c>
      <c r="I20" s="293">
        <f t="shared" si="5"/>
        <v>181407.75999999998</v>
      </c>
      <c r="J20" s="303">
        <f>J21+J22+J23+J24</f>
        <v>4912613.84</v>
      </c>
      <c r="K20" s="231">
        <f>K21+K22+K23+K24</f>
        <v>4775451.18</v>
      </c>
    </row>
    <row r="21" spans="1:11" ht="15" x14ac:dyDescent="0.25">
      <c r="A21" s="18"/>
      <c r="B21" s="22" t="s">
        <v>17</v>
      </c>
      <c r="C21" s="19"/>
      <c r="D21" s="16" t="s">
        <v>18</v>
      </c>
      <c r="E21" s="100">
        <f>Altre!C7</f>
        <v>177382.55</v>
      </c>
      <c r="F21" s="57">
        <f>'Variazioni immobilizzazioni CF'!A30</f>
        <v>0</v>
      </c>
      <c r="G21" s="57">
        <f>'Variazioni immobilizzazioni CF'!A40</f>
        <v>0</v>
      </c>
      <c r="H21" s="57">
        <f>'Variazioni immobilizzazioni AC'!A11+'Variazioni immobilizzazioni AC'!A32</f>
        <v>0</v>
      </c>
      <c r="I21" s="291">
        <f>'Variazioni immobilizzazioni AC'!A43+'Variazioni immobilizzazioni AC'!A54</f>
        <v>6155.43</v>
      </c>
      <c r="J21" s="301">
        <f t="shared" ref="J21:J38" si="6">E21+F21-G21+H21-I21</f>
        <v>171227.12</v>
      </c>
      <c r="K21" s="54">
        <f>E21</f>
        <v>177382.55</v>
      </c>
    </row>
    <row r="22" spans="1:11" ht="15" x14ac:dyDescent="0.25">
      <c r="A22" s="18"/>
      <c r="B22" s="22" t="s">
        <v>19</v>
      </c>
      <c r="C22" s="19"/>
      <c r="D22" s="16" t="s">
        <v>20</v>
      </c>
      <c r="E22" s="100">
        <f>Altre!C8</f>
        <v>0</v>
      </c>
      <c r="F22" s="57">
        <f>'Variazioni immobilizzazioni CF'!B30</f>
        <v>0</v>
      </c>
      <c r="G22" s="57">
        <f>'Variazioni immobilizzazioni CF'!B40</f>
        <v>0</v>
      </c>
      <c r="H22" s="57">
        <f>'Variazioni immobilizzazioni AC'!B11+'Variazioni immobilizzazioni AC'!B32</f>
        <v>0</v>
      </c>
      <c r="I22" s="291">
        <f>'Variazioni immobilizzazioni AC'!B43+'Variazioni immobilizzazioni AC'!B54</f>
        <v>0</v>
      </c>
      <c r="J22" s="301">
        <f t="shared" si="6"/>
        <v>0</v>
      </c>
      <c r="K22" s="54">
        <f>E22</f>
        <v>0</v>
      </c>
    </row>
    <row r="23" spans="1:11" ht="15" x14ac:dyDescent="0.25">
      <c r="A23" s="18"/>
      <c r="B23" s="22" t="s">
        <v>21</v>
      </c>
      <c r="C23" s="19"/>
      <c r="D23" s="16" t="s">
        <v>22</v>
      </c>
      <c r="E23" s="100">
        <f>Altre!C9</f>
        <v>4372434.88</v>
      </c>
      <c r="F23" s="57">
        <f>'Variazioni immobilizzazioni CF'!C30</f>
        <v>162171.37</v>
      </c>
      <c r="G23" s="57">
        <f>'Variazioni immobilizzazioni CF'!C40</f>
        <v>0</v>
      </c>
      <c r="H23" s="57">
        <f>'Variazioni immobilizzazioni AC'!C11+'Variazioni immobilizzazioni AC'!C32</f>
        <v>154477.54999999999</v>
      </c>
      <c r="I23" s="291">
        <f>'Variazioni immobilizzazioni AC'!C43+'Variazioni immobilizzazioni AC'!C54</f>
        <v>167589.99</v>
      </c>
      <c r="J23" s="301">
        <f t="shared" si="6"/>
        <v>4521493.8099999996</v>
      </c>
      <c r="K23" s="54">
        <f>E23</f>
        <v>4372434.88</v>
      </c>
    </row>
    <row r="24" spans="1:11" ht="15" x14ac:dyDescent="0.25">
      <c r="A24" s="18"/>
      <c r="B24" s="22" t="s">
        <v>23</v>
      </c>
      <c r="C24" s="19"/>
      <c r="D24" s="16" t="s">
        <v>24</v>
      </c>
      <c r="E24" s="100">
        <f>Altre!C10</f>
        <v>225633.75</v>
      </c>
      <c r="F24" s="57">
        <f>'Variazioni immobilizzazioni CF'!D30</f>
        <v>1921.5</v>
      </c>
      <c r="G24" s="57">
        <f>'Variazioni immobilizzazioni CF'!D40</f>
        <v>0</v>
      </c>
      <c r="H24" s="57">
        <f>'Variazioni immobilizzazioni AC'!D11+'Variazioni immobilizzazioni AC'!D32</f>
        <v>0</v>
      </c>
      <c r="I24" s="291">
        <f>'Variazioni immobilizzazioni AC'!D43+'Variazioni immobilizzazioni AC'!D54</f>
        <v>7662.34</v>
      </c>
      <c r="J24" s="301">
        <f t="shared" si="6"/>
        <v>219892.91</v>
      </c>
      <c r="K24" s="54">
        <f>E24</f>
        <v>225633.75</v>
      </c>
    </row>
    <row r="25" spans="1:11" ht="15" x14ac:dyDescent="0.25">
      <c r="A25" s="18" t="s">
        <v>25</v>
      </c>
      <c r="B25" s="21">
        <v>2</v>
      </c>
      <c r="C25" s="19"/>
      <c r="D25" s="16" t="s">
        <v>26</v>
      </c>
      <c r="E25" s="101">
        <f>E26+E28+E30+E32+E33+E34+E35+E36+E37</f>
        <v>2201963.1800000002</v>
      </c>
      <c r="F25" s="56">
        <f>F26+F28+F30+F32+F33+F34+F35+F36+F37</f>
        <v>13995.84</v>
      </c>
      <c r="G25" s="56">
        <f t="shared" ref="G25:I25" si="7">G26+G28+G30+G32+G33+G34+G35+G36+G37</f>
        <v>0</v>
      </c>
      <c r="H25" s="56">
        <f t="shared" si="7"/>
        <v>48849.96</v>
      </c>
      <c r="I25" s="293">
        <f t="shared" si="7"/>
        <v>62325.310000000005</v>
      </c>
      <c r="J25" s="303">
        <f>J26+J28+J30+J32+J33+J34+J35+J36+J37</f>
        <v>2202483.6700000004</v>
      </c>
      <c r="K25" s="231">
        <f>K26+K28+K30+K32+K33+K34+K35+K36+K37</f>
        <v>2201963.1800000002</v>
      </c>
    </row>
    <row r="26" spans="1:11" ht="15" x14ac:dyDescent="0.25">
      <c r="A26" s="18"/>
      <c r="B26" s="22" t="s">
        <v>28</v>
      </c>
      <c r="C26" s="19"/>
      <c r="D26" s="16" t="s">
        <v>29</v>
      </c>
      <c r="E26" s="100">
        <f>Altre!C11</f>
        <v>287712</v>
      </c>
      <c r="F26" s="57">
        <f>'Variazioni immobilizzazioni CF'!E30</f>
        <v>0</v>
      </c>
      <c r="G26" s="57">
        <f>'Variazioni immobilizzazioni CF'!E40</f>
        <v>0</v>
      </c>
      <c r="H26" s="57">
        <f>'Variazioni immobilizzazioni AC'!E11+'Variazioni immobilizzazioni AC'!E32</f>
        <v>0</v>
      </c>
      <c r="I26" s="291">
        <f>'Variazioni immobilizzazioni AC'!E43+'Variazioni immobilizzazioni AC'!E54</f>
        <v>0</v>
      </c>
      <c r="J26" s="301">
        <f t="shared" si="6"/>
        <v>287712</v>
      </c>
      <c r="K26" s="54">
        <f t="shared" ref="K26:K38" si="8">E26</f>
        <v>287712</v>
      </c>
    </row>
    <row r="27" spans="1:11" ht="15" x14ac:dyDescent="0.25">
      <c r="A27" s="18"/>
      <c r="B27" s="21"/>
      <c r="C27" s="19" t="s">
        <v>30</v>
      </c>
      <c r="D27" s="23" t="s">
        <v>31</v>
      </c>
      <c r="E27" s="100">
        <v>0</v>
      </c>
      <c r="F27" s="57">
        <v>0</v>
      </c>
      <c r="G27" s="57">
        <v>0</v>
      </c>
      <c r="H27" s="57">
        <v>0</v>
      </c>
      <c r="I27" s="291">
        <v>0</v>
      </c>
      <c r="J27" s="301">
        <f t="shared" si="6"/>
        <v>0</v>
      </c>
      <c r="K27" s="54">
        <f t="shared" si="8"/>
        <v>0</v>
      </c>
    </row>
    <row r="28" spans="1:11" ht="15" x14ac:dyDescent="0.25">
      <c r="A28" s="18"/>
      <c r="B28" s="22" t="s">
        <v>32</v>
      </c>
      <c r="C28" s="19"/>
      <c r="D28" s="16" t="s">
        <v>20</v>
      </c>
      <c r="E28" s="100">
        <f>Altre!C12</f>
        <v>1858141.39</v>
      </c>
      <c r="F28" s="57">
        <f>'Variazioni immobilizzazioni CF'!F30</f>
        <v>1930.04</v>
      </c>
      <c r="G28" s="57">
        <f>'Variazioni immobilizzazioni CF'!F40</f>
        <v>0</v>
      </c>
      <c r="H28" s="57">
        <f>'Variazioni immobilizzazioni AC'!F11+'Variazioni immobilizzazioni AC'!F32</f>
        <v>0</v>
      </c>
      <c r="I28" s="291">
        <f>'Variazioni immobilizzazioni AC'!F43+'Variazioni immobilizzazioni AC'!F54</f>
        <v>36308.76</v>
      </c>
      <c r="J28" s="301">
        <f t="shared" si="6"/>
        <v>1823762.67</v>
      </c>
      <c r="K28" s="54">
        <f t="shared" si="8"/>
        <v>1858141.39</v>
      </c>
    </row>
    <row r="29" spans="1:11" ht="15" x14ac:dyDescent="0.25">
      <c r="A29" s="18"/>
      <c r="B29" s="21"/>
      <c r="C29" s="19" t="s">
        <v>30</v>
      </c>
      <c r="D29" s="23" t="s">
        <v>31</v>
      </c>
      <c r="E29" s="100">
        <v>0</v>
      </c>
      <c r="F29" s="57">
        <v>0</v>
      </c>
      <c r="G29" s="57">
        <v>0</v>
      </c>
      <c r="H29" s="57">
        <v>0</v>
      </c>
      <c r="I29" s="291">
        <v>0</v>
      </c>
      <c r="J29" s="301">
        <f t="shared" si="6"/>
        <v>0</v>
      </c>
      <c r="K29" s="54">
        <f t="shared" si="8"/>
        <v>0</v>
      </c>
    </row>
    <row r="30" spans="1:11" ht="15" x14ac:dyDescent="0.25">
      <c r="A30" s="18"/>
      <c r="B30" s="22" t="s">
        <v>33</v>
      </c>
      <c r="C30" s="19"/>
      <c r="D30" s="16" t="s">
        <v>34</v>
      </c>
      <c r="E30" s="100">
        <f>Altre!C13</f>
        <v>0</v>
      </c>
      <c r="F30" s="57">
        <f>'Variazioni immobilizzazioni CF'!G30</f>
        <v>0</v>
      </c>
      <c r="G30" s="57">
        <f>'Variazioni immobilizzazioni CF'!G40</f>
        <v>0</v>
      </c>
      <c r="H30" s="57">
        <f>'Variazioni immobilizzazioni AC'!G11+'Variazioni immobilizzazioni AC'!G32</f>
        <v>0</v>
      </c>
      <c r="I30" s="291">
        <f>'Variazioni immobilizzazioni AC'!G43+'Variazioni immobilizzazioni AC'!G54</f>
        <v>0</v>
      </c>
      <c r="J30" s="301">
        <f t="shared" si="6"/>
        <v>0</v>
      </c>
      <c r="K30" s="54">
        <f t="shared" si="8"/>
        <v>0</v>
      </c>
    </row>
    <row r="31" spans="1:11" ht="15" x14ac:dyDescent="0.25">
      <c r="A31" s="18"/>
      <c r="B31" s="21"/>
      <c r="C31" s="19" t="s">
        <v>30</v>
      </c>
      <c r="D31" s="23" t="s">
        <v>31</v>
      </c>
      <c r="E31" s="100">
        <v>0</v>
      </c>
      <c r="F31" s="57">
        <v>0</v>
      </c>
      <c r="G31" s="57">
        <v>0</v>
      </c>
      <c r="H31" s="57">
        <v>0</v>
      </c>
      <c r="I31" s="291">
        <v>0</v>
      </c>
      <c r="J31" s="301">
        <f t="shared" si="6"/>
        <v>0</v>
      </c>
      <c r="K31" s="54">
        <f t="shared" si="8"/>
        <v>0</v>
      </c>
    </row>
    <row r="32" spans="1:11" ht="15" x14ac:dyDescent="0.25">
      <c r="A32" s="18"/>
      <c r="B32" s="22" t="s">
        <v>35</v>
      </c>
      <c r="C32" s="19"/>
      <c r="D32" s="16" t="s">
        <v>36</v>
      </c>
      <c r="E32" s="100">
        <f>Altre!C14</f>
        <v>22012.33</v>
      </c>
      <c r="F32" s="57">
        <f>'Variazioni immobilizzazioni CF'!L30</f>
        <v>5219.16</v>
      </c>
      <c r="G32" s="57">
        <f>'Variazioni immobilizzazioni CF'!L40</f>
        <v>0</v>
      </c>
      <c r="H32" s="57">
        <f>'Variazioni immobilizzazioni AC'!L11+'Variazioni immobilizzazioni AC'!L32</f>
        <v>0</v>
      </c>
      <c r="I32" s="291">
        <f>'Variazioni immobilizzazioni AC'!L43+'Variazioni immobilizzazioni AC'!L54</f>
        <v>4045.75</v>
      </c>
      <c r="J32" s="301">
        <f t="shared" si="6"/>
        <v>23185.74</v>
      </c>
      <c r="K32" s="54">
        <f t="shared" si="8"/>
        <v>22012.33</v>
      </c>
    </row>
    <row r="33" spans="1:11" ht="15" x14ac:dyDescent="0.25">
      <c r="A33" s="24"/>
      <c r="B33" s="22" t="s">
        <v>37</v>
      </c>
      <c r="C33" s="19"/>
      <c r="D33" s="16" t="s">
        <v>38</v>
      </c>
      <c r="E33" s="100">
        <f>Altre!C15</f>
        <v>17885.740000000002</v>
      </c>
      <c r="F33" s="57">
        <f>'Variazioni immobilizzazioni CF'!M30</f>
        <v>0</v>
      </c>
      <c r="G33" s="57">
        <f>'Variazioni immobilizzazioni CF'!M40</f>
        <v>0</v>
      </c>
      <c r="H33" s="57">
        <f>'Variazioni immobilizzazioni AC'!M11+'Variazioni immobilizzazioni AC'!M32</f>
        <v>45295.979999999996</v>
      </c>
      <c r="I33" s="291">
        <f>'Variazioni immobilizzazioni AC'!M43+'Variazioni immobilizzazioni AC'!M54</f>
        <v>15947.93</v>
      </c>
      <c r="J33" s="301">
        <f t="shared" si="6"/>
        <v>47233.79</v>
      </c>
      <c r="K33" s="54">
        <f t="shared" si="8"/>
        <v>17885.740000000002</v>
      </c>
    </row>
    <row r="34" spans="1:11" ht="15" x14ac:dyDescent="0.25">
      <c r="A34" s="24"/>
      <c r="B34" s="22" t="s">
        <v>39</v>
      </c>
      <c r="C34" s="19"/>
      <c r="D34" s="16" t="s">
        <v>40</v>
      </c>
      <c r="E34" s="100">
        <f>Altre!C16</f>
        <v>909.22</v>
      </c>
      <c r="F34" s="57">
        <f>'Variazioni immobilizzazioni CF'!N30</f>
        <v>6846.6399999999994</v>
      </c>
      <c r="G34" s="57">
        <f>'Variazioni immobilizzazioni CF'!N40</f>
        <v>0</v>
      </c>
      <c r="H34" s="57">
        <f>'Variazioni immobilizzazioni AC'!N11+'Variazioni immobilizzazioni AC'!N32</f>
        <v>3553.98</v>
      </c>
      <c r="I34" s="291">
        <f>'Variazioni immobilizzazioni AC'!N43+'Variazioni immobilizzazioni AC'!N54</f>
        <v>750.57</v>
      </c>
      <c r="J34" s="301">
        <f t="shared" si="6"/>
        <v>10559.27</v>
      </c>
      <c r="K34" s="54">
        <f t="shared" si="8"/>
        <v>909.22</v>
      </c>
    </row>
    <row r="35" spans="1:11" ht="15" x14ac:dyDescent="0.25">
      <c r="A35" s="24"/>
      <c r="B35" s="22" t="s">
        <v>41</v>
      </c>
      <c r="C35" s="19"/>
      <c r="D35" s="16" t="s">
        <v>42</v>
      </c>
      <c r="E35" s="100">
        <f>Altre!C17</f>
        <v>15302.5</v>
      </c>
      <c r="F35" s="57">
        <f>'Variazioni immobilizzazioni CF'!O30</f>
        <v>0</v>
      </c>
      <c r="G35" s="57">
        <f>'Variazioni immobilizzazioni CF'!O40</f>
        <v>0</v>
      </c>
      <c r="H35" s="57">
        <f>'Variazioni immobilizzazioni AC'!O11+'Variazioni immobilizzazioni AC'!O32</f>
        <v>0</v>
      </c>
      <c r="I35" s="291">
        <f>'Variazioni immobilizzazioni AC'!O43+'Variazioni immobilizzazioni AC'!O54</f>
        <v>5272.3</v>
      </c>
      <c r="J35" s="301">
        <f t="shared" si="6"/>
        <v>10030.200000000001</v>
      </c>
      <c r="K35" s="54">
        <f t="shared" si="8"/>
        <v>15302.5</v>
      </c>
    </row>
    <row r="36" spans="1:11" ht="15" x14ac:dyDescent="0.25">
      <c r="A36" s="24"/>
      <c r="B36" s="22" t="s">
        <v>43</v>
      </c>
      <c r="C36" s="19"/>
      <c r="D36" s="16" t="s">
        <v>22</v>
      </c>
      <c r="E36" s="100">
        <f>Altre!C18</f>
        <v>0</v>
      </c>
      <c r="F36" s="57">
        <f>'Variazioni immobilizzazioni CF'!H30</f>
        <v>0</v>
      </c>
      <c r="G36" s="57">
        <f>'Variazioni immobilizzazioni CF'!H40</f>
        <v>0</v>
      </c>
      <c r="H36" s="57">
        <f>'Variazioni immobilizzazioni AC'!H11+'Variazioni immobilizzazioni AC'!H32</f>
        <v>0</v>
      </c>
      <c r="I36" s="291">
        <f>'Variazioni immobilizzazioni AC'!H43+'Variazioni immobilizzazioni AC'!H54</f>
        <v>0</v>
      </c>
      <c r="J36" s="301">
        <f t="shared" si="6"/>
        <v>0</v>
      </c>
      <c r="K36" s="54">
        <f t="shared" si="8"/>
        <v>0</v>
      </c>
    </row>
    <row r="37" spans="1:11" ht="15" x14ac:dyDescent="0.25">
      <c r="A37" s="24"/>
      <c r="B37" s="25" t="s">
        <v>44</v>
      </c>
      <c r="C37" s="19"/>
      <c r="D37" s="16" t="s">
        <v>45</v>
      </c>
      <c r="E37" s="100">
        <f>Altre!C19</f>
        <v>0</v>
      </c>
      <c r="F37" s="57">
        <f>'Variazioni immobilizzazioni CF'!P30</f>
        <v>0</v>
      </c>
      <c r="G37" s="57">
        <f>'Variazioni immobilizzazioni CF'!P40</f>
        <v>0</v>
      </c>
      <c r="H37" s="57">
        <f>'Variazioni immobilizzazioni AC'!P11+'Variazioni immobilizzazioni AC'!P32</f>
        <v>0</v>
      </c>
      <c r="I37" s="291">
        <f>'Variazioni immobilizzazioni AC'!P43+'Variazioni immobilizzazioni AC'!P54</f>
        <v>0</v>
      </c>
      <c r="J37" s="301">
        <f t="shared" si="6"/>
        <v>0</v>
      </c>
      <c r="K37" s="54">
        <f t="shared" si="8"/>
        <v>0</v>
      </c>
    </row>
    <row r="38" spans="1:11" ht="15" x14ac:dyDescent="0.25">
      <c r="A38" s="18"/>
      <c r="B38" s="21">
        <v>3</v>
      </c>
      <c r="C38" s="19"/>
      <c r="D38" s="16" t="s">
        <v>11</v>
      </c>
      <c r="E38" s="100">
        <f>Altre!C20</f>
        <v>832181.42</v>
      </c>
      <c r="F38" s="57">
        <f>'Variazioni immobilizzazioni CF'!I30+'Variazioni immobilizzazioni CF'!R30</f>
        <v>140405.97000000003</v>
      </c>
      <c r="G38" s="57">
        <f>'Variazioni immobilizzazioni CF'!I40</f>
        <v>0</v>
      </c>
      <c r="H38" s="57">
        <f>'Variazioni immobilizzazioni AC'!I11</f>
        <v>0</v>
      </c>
      <c r="I38" s="291">
        <f>'Variazioni immobilizzazioni AC'!I54+'Variazioni immobilizzazioni AC'!R54</f>
        <v>202311.12999999995</v>
      </c>
      <c r="J38" s="301">
        <f t="shared" si="6"/>
        <v>770276.26000000024</v>
      </c>
      <c r="K38" s="54">
        <f t="shared" si="8"/>
        <v>832181.42</v>
      </c>
    </row>
    <row r="39" spans="1:11" ht="15" x14ac:dyDescent="0.25">
      <c r="A39" s="18"/>
      <c r="B39" s="16"/>
      <c r="C39" s="19"/>
      <c r="D39" s="17" t="s">
        <v>46</v>
      </c>
      <c r="E39" s="60">
        <f>E20+E25+E38</f>
        <v>7809595.7799999993</v>
      </c>
      <c r="F39" s="58">
        <f>F20+F25+F38</f>
        <v>318494.68000000005</v>
      </c>
      <c r="G39" s="58">
        <f t="shared" ref="G39:I39" si="9">G20+G25+G38</f>
        <v>0</v>
      </c>
      <c r="H39" s="58">
        <f t="shared" si="9"/>
        <v>203327.50999999998</v>
      </c>
      <c r="I39" s="292">
        <f t="shared" si="9"/>
        <v>446044.19999999995</v>
      </c>
      <c r="J39" s="302">
        <f>J20+J25+J38</f>
        <v>7885373.7699999996</v>
      </c>
      <c r="K39" s="55">
        <f>K20+K25+K38</f>
        <v>7809595.7799999993</v>
      </c>
    </row>
    <row r="40" spans="1:11" ht="15" x14ac:dyDescent="0.25">
      <c r="A40" s="18"/>
      <c r="B40" s="16"/>
      <c r="C40" s="19"/>
      <c r="D40" s="16"/>
      <c r="E40" s="99"/>
      <c r="F40" s="59"/>
      <c r="G40" s="59"/>
      <c r="H40" s="59"/>
      <c r="I40" s="290"/>
      <c r="J40" s="300"/>
      <c r="K40" s="53"/>
    </row>
    <row r="41" spans="1:11" ht="15" x14ac:dyDescent="0.25">
      <c r="A41" s="9" t="s">
        <v>47</v>
      </c>
      <c r="B41" s="10"/>
      <c r="C41" s="11"/>
      <c r="D41" s="20" t="s">
        <v>48</v>
      </c>
      <c r="E41" s="99"/>
      <c r="F41" s="59"/>
      <c r="G41" s="59"/>
      <c r="H41" s="59"/>
      <c r="I41" s="290"/>
      <c r="J41" s="300"/>
      <c r="K41" s="53"/>
    </row>
    <row r="42" spans="1:11" ht="15" x14ac:dyDescent="0.25">
      <c r="A42" s="9"/>
      <c r="B42" s="10">
        <v>1</v>
      </c>
      <c r="C42" s="11"/>
      <c r="D42" s="16" t="s">
        <v>49</v>
      </c>
      <c r="E42" s="101">
        <f>E43+E44+E45</f>
        <v>77973.119999999995</v>
      </c>
      <c r="F42" s="56">
        <f>F43+F44+F45</f>
        <v>0</v>
      </c>
      <c r="G42" s="56">
        <f t="shared" ref="G42:I42" si="10">G43+G44+G45</f>
        <v>0</v>
      </c>
      <c r="H42" s="56">
        <f t="shared" si="10"/>
        <v>12682.730000000003</v>
      </c>
      <c r="I42" s="293">
        <f t="shared" si="10"/>
        <v>0</v>
      </c>
      <c r="J42" s="303">
        <f>J43+J44+J45</f>
        <v>90655.85</v>
      </c>
      <c r="K42" s="231">
        <f>K43+K44+K45</f>
        <v>77973.119999999995</v>
      </c>
    </row>
    <row r="43" spans="1:11" ht="15" x14ac:dyDescent="0.25">
      <c r="A43" s="9"/>
      <c r="B43" s="10"/>
      <c r="C43" s="11" t="s">
        <v>30</v>
      </c>
      <c r="D43" s="26" t="s">
        <v>50</v>
      </c>
      <c r="E43" s="100">
        <f>Altre!C114</f>
        <v>0</v>
      </c>
      <c r="F43" s="57">
        <f>Altre!D114</f>
        <v>0</v>
      </c>
      <c r="G43" s="57">
        <f>Altre!E114</f>
        <v>0</v>
      </c>
      <c r="H43" s="57">
        <f>Altre!F114</f>
        <v>0</v>
      </c>
      <c r="I43" s="291">
        <f>Altre!G114</f>
        <v>0</v>
      </c>
      <c r="J43" s="301">
        <f t="shared" ref="J43:J51" si="11">E43+F43-G43+H43-I43</f>
        <v>0</v>
      </c>
      <c r="K43" s="54">
        <f>E43</f>
        <v>0</v>
      </c>
    </row>
    <row r="44" spans="1:11" ht="15" x14ac:dyDescent="0.25">
      <c r="A44" s="9"/>
      <c r="B44" s="10"/>
      <c r="C44" s="11" t="s">
        <v>51</v>
      </c>
      <c r="D44" s="23" t="s">
        <v>52</v>
      </c>
      <c r="E44" s="100">
        <f>Altre!C110</f>
        <v>77973.119999999995</v>
      </c>
      <c r="F44" s="57">
        <f>Altre!D110</f>
        <v>0</v>
      </c>
      <c r="G44" s="57">
        <f>Altre!E110</f>
        <v>0</v>
      </c>
      <c r="H44" s="57">
        <f>Altre!F110</f>
        <v>12682.730000000003</v>
      </c>
      <c r="I44" s="291">
        <f>Altre!G110</f>
        <v>0</v>
      </c>
      <c r="J44" s="301">
        <f t="shared" si="11"/>
        <v>90655.85</v>
      </c>
      <c r="K44" s="54">
        <f>E44</f>
        <v>77973.119999999995</v>
      </c>
    </row>
    <row r="45" spans="1:11" ht="15" x14ac:dyDescent="0.25">
      <c r="A45" s="9"/>
      <c r="B45" s="10"/>
      <c r="C45" s="11" t="s">
        <v>53</v>
      </c>
      <c r="D45" s="23" t="s">
        <v>54</v>
      </c>
      <c r="E45" s="100">
        <v>0</v>
      </c>
      <c r="F45" s="57"/>
      <c r="G45" s="57"/>
      <c r="H45" s="57"/>
      <c r="I45" s="291"/>
      <c r="J45" s="301">
        <f t="shared" si="11"/>
        <v>0</v>
      </c>
      <c r="K45" s="54">
        <f>E45</f>
        <v>0</v>
      </c>
    </row>
    <row r="46" spans="1:11" ht="15" x14ac:dyDescent="0.25">
      <c r="A46" s="9"/>
      <c r="B46" s="10">
        <v>2</v>
      </c>
      <c r="C46" s="11"/>
      <c r="D46" s="16" t="s">
        <v>55</v>
      </c>
      <c r="E46" s="101">
        <f>E47+E48+E49+E50</f>
        <v>0</v>
      </c>
      <c r="F46" s="56">
        <f>F47+F48+F49+F50</f>
        <v>0</v>
      </c>
      <c r="G46" s="56">
        <f t="shared" ref="G46:I46" si="12">G47+G48+G49+G50</f>
        <v>0</v>
      </c>
      <c r="H46" s="56">
        <f t="shared" si="12"/>
        <v>0</v>
      </c>
      <c r="I46" s="293">
        <f t="shared" si="12"/>
        <v>0</v>
      </c>
      <c r="J46" s="303">
        <f>J47+J48+J49+J50</f>
        <v>0</v>
      </c>
      <c r="K46" s="231">
        <f>K47+K48+K49+K50</f>
        <v>0</v>
      </c>
    </row>
    <row r="47" spans="1:11" ht="15" x14ac:dyDescent="0.25">
      <c r="A47" s="9"/>
      <c r="B47" s="10"/>
      <c r="C47" s="11" t="s">
        <v>30</v>
      </c>
      <c r="D47" s="16" t="s">
        <v>56</v>
      </c>
      <c r="E47" s="100">
        <v>0</v>
      </c>
      <c r="F47" s="57"/>
      <c r="G47" s="57"/>
      <c r="H47" s="57"/>
      <c r="I47" s="291"/>
      <c r="J47" s="301">
        <f t="shared" si="11"/>
        <v>0</v>
      </c>
      <c r="K47" s="54">
        <f>E47</f>
        <v>0</v>
      </c>
    </row>
    <row r="48" spans="1:11" ht="15" x14ac:dyDescent="0.25">
      <c r="A48" s="9"/>
      <c r="B48" s="10"/>
      <c r="C48" s="11" t="s">
        <v>51</v>
      </c>
      <c r="D48" s="26" t="s">
        <v>50</v>
      </c>
      <c r="E48" s="100">
        <v>0</v>
      </c>
      <c r="F48" s="57"/>
      <c r="G48" s="57"/>
      <c r="H48" s="57"/>
      <c r="I48" s="291"/>
      <c r="J48" s="301">
        <f t="shared" si="11"/>
        <v>0</v>
      </c>
      <c r="K48" s="54">
        <f>E48</f>
        <v>0</v>
      </c>
    </row>
    <row r="49" spans="1:11" ht="15" x14ac:dyDescent="0.25">
      <c r="A49" s="9"/>
      <c r="B49" s="10"/>
      <c r="C49" s="11" t="s">
        <v>53</v>
      </c>
      <c r="D49" s="23" t="s">
        <v>57</v>
      </c>
      <c r="E49" s="100">
        <v>0</v>
      </c>
      <c r="F49" s="57"/>
      <c r="G49" s="57"/>
      <c r="H49" s="57"/>
      <c r="I49" s="291"/>
      <c r="J49" s="301">
        <f t="shared" si="11"/>
        <v>0</v>
      </c>
      <c r="K49" s="54">
        <f>E49</f>
        <v>0</v>
      </c>
    </row>
    <row r="50" spans="1:11" ht="15" x14ac:dyDescent="0.25">
      <c r="A50" s="9"/>
      <c r="B50" s="10"/>
      <c r="C50" s="11" t="s">
        <v>58</v>
      </c>
      <c r="D50" s="23" t="s">
        <v>59</v>
      </c>
      <c r="E50" s="100">
        <v>0</v>
      </c>
      <c r="F50" s="57"/>
      <c r="G50" s="57"/>
      <c r="H50" s="57"/>
      <c r="I50" s="291"/>
      <c r="J50" s="301">
        <f t="shared" si="11"/>
        <v>0</v>
      </c>
      <c r="K50" s="54">
        <f>E50</f>
        <v>0</v>
      </c>
    </row>
    <row r="51" spans="1:11" ht="15" x14ac:dyDescent="0.25">
      <c r="A51" s="9"/>
      <c r="B51" s="10">
        <v>3</v>
      </c>
      <c r="C51" s="11"/>
      <c r="D51" s="16" t="s">
        <v>60</v>
      </c>
      <c r="E51" s="100">
        <f>Altre!C118</f>
        <v>0</v>
      </c>
      <c r="F51" s="57">
        <f>Altre!D118</f>
        <v>0</v>
      </c>
      <c r="G51" s="57">
        <f>Altre!E118</f>
        <v>0</v>
      </c>
      <c r="H51" s="57">
        <f>Altre!F118</f>
        <v>0</v>
      </c>
      <c r="I51" s="291">
        <f>Altre!G118</f>
        <v>0</v>
      </c>
      <c r="J51" s="301">
        <f t="shared" si="11"/>
        <v>0</v>
      </c>
      <c r="K51" s="54">
        <f>E51</f>
        <v>0</v>
      </c>
    </row>
    <row r="52" spans="1:11" ht="15" x14ac:dyDescent="0.25">
      <c r="A52" s="9"/>
      <c r="B52" s="10"/>
      <c r="C52" s="11"/>
      <c r="D52" s="17" t="s">
        <v>61</v>
      </c>
      <c r="E52" s="60">
        <f>E42+E46+E51</f>
        <v>77973.119999999995</v>
      </c>
      <c r="F52" s="58">
        <f>F42+F46+F51</f>
        <v>0</v>
      </c>
      <c r="G52" s="58">
        <f t="shared" ref="G52:I52" si="13">G42+G46+G51</f>
        <v>0</v>
      </c>
      <c r="H52" s="58">
        <f t="shared" si="13"/>
        <v>12682.730000000003</v>
      </c>
      <c r="I52" s="292">
        <f t="shared" si="13"/>
        <v>0</v>
      </c>
      <c r="J52" s="302">
        <f>J42+J46+J51</f>
        <v>90655.85</v>
      </c>
      <c r="K52" s="55">
        <f>K42+K46+K51</f>
        <v>77973.119999999995</v>
      </c>
    </row>
    <row r="53" spans="1:11" ht="15.75" thickBot="1" x14ac:dyDescent="0.3">
      <c r="A53" s="9"/>
      <c r="B53" s="10"/>
      <c r="C53" s="11"/>
      <c r="D53" s="17"/>
      <c r="E53" s="99"/>
      <c r="F53" s="59"/>
      <c r="G53" s="59"/>
      <c r="H53" s="59"/>
      <c r="I53" s="290"/>
      <c r="J53" s="300"/>
      <c r="K53" s="53"/>
    </row>
    <row r="54" spans="1:11" ht="15.75" thickBot="1" x14ac:dyDescent="0.3">
      <c r="A54" s="27"/>
      <c r="B54" s="28"/>
      <c r="C54" s="29"/>
      <c r="D54" s="30" t="s">
        <v>62</v>
      </c>
      <c r="E54" s="61">
        <f>E17+E39+E52</f>
        <v>7997494.1299999999</v>
      </c>
      <c r="F54" s="52">
        <f t="shared" ref="F54:I54" si="14">F17+F39+F52</f>
        <v>322720.28000000003</v>
      </c>
      <c r="G54" s="52">
        <f t="shared" si="14"/>
        <v>0</v>
      </c>
      <c r="H54" s="52">
        <f t="shared" si="14"/>
        <v>218547.84</v>
      </c>
      <c r="I54" s="177">
        <f t="shared" si="14"/>
        <v>474304.58999999997</v>
      </c>
      <c r="J54" s="299">
        <f>J17+J39+J52</f>
        <v>8064457.6599999992</v>
      </c>
      <c r="K54" s="232">
        <f>K17+K39+K52</f>
        <v>7997494.1299999999</v>
      </c>
    </row>
    <row r="55" spans="1:11" ht="15" x14ac:dyDescent="0.25">
      <c r="A55" s="9"/>
      <c r="B55" s="10"/>
      <c r="C55" s="11"/>
      <c r="D55" s="10"/>
      <c r="E55" s="99"/>
      <c r="F55" s="59"/>
      <c r="G55" s="59"/>
      <c r="H55" s="59"/>
      <c r="I55" s="290"/>
      <c r="J55" s="300"/>
      <c r="K55" s="53"/>
    </row>
    <row r="56" spans="1:11" ht="15" x14ac:dyDescent="0.25">
      <c r="A56" s="9"/>
      <c r="B56" s="10"/>
      <c r="C56" s="11"/>
      <c r="D56" s="14" t="s">
        <v>63</v>
      </c>
      <c r="E56" s="99"/>
      <c r="F56" s="59"/>
      <c r="G56" s="59"/>
      <c r="H56" s="59"/>
      <c r="I56" s="290"/>
      <c r="J56" s="300"/>
      <c r="K56" s="53"/>
    </row>
    <row r="57" spans="1:11" ht="15" x14ac:dyDescent="0.25">
      <c r="A57" s="9" t="s">
        <v>4</v>
      </c>
      <c r="B57" s="10"/>
      <c r="C57" s="11"/>
      <c r="D57" s="15" t="s">
        <v>64</v>
      </c>
      <c r="E57" s="100">
        <f>Altre!C121</f>
        <v>0</v>
      </c>
      <c r="F57" s="57">
        <v>0</v>
      </c>
      <c r="G57" s="57">
        <v>0</v>
      </c>
      <c r="H57" s="57">
        <f>IF(Altre!D121&gt;0,Altre!D121,0)</f>
        <v>0</v>
      </c>
      <c r="I57" s="291">
        <f>IF(Altre!D121&lt;0,-Altre!D121,0)</f>
        <v>0</v>
      </c>
      <c r="J57" s="301">
        <f t="shared" ref="J57" si="15">E57+F57-G57+H57-I57</f>
        <v>0</v>
      </c>
      <c r="K57" s="54">
        <f>E57</f>
        <v>0</v>
      </c>
    </row>
    <row r="58" spans="1:11" ht="15" x14ac:dyDescent="0.25">
      <c r="A58" s="9"/>
      <c r="B58" s="10"/>
      <c r="C58" s="11"/>
      <c r="D58" s="17" t="s">
        <v>65</v>
      </c>
      <c r="E58" s="60">
        <f t="shared" ref="E58:J58" si="16">E57</f>
        <v>0</v>
      </c>
      <c r="F58" s="58">
        <f t="shared" si="16"/>
        <v>0</v>
      </c>
      <c r="G58" s="58">
        <f t="shared" si="16"/>
        <v>0</v>
      </c>
      <c r="H58" s="58">
        <f t="shared" si="16"/>
        <v>0</v>
      </c>
      <c r="I58" s="292">
        <f t="shared" si="16"/>
        <v>0</v>
      </c>
      <c r="J58" s="302">
        <f t="shared" si="16"/>
        <v>0</v>
      </c>
      <c r="K58" s="55">
        <f t="shared" ref="K58" si="17">K57</f>
        <v>0</v>
      </c>
    </row>
    <row r="59" spans="1:11" ht="15" x14ac:dyDescent="0.25">
      <c r="A59" s="9" t="s">
        <v>15</v>
      </c>
      <c r="B59" s="10"/>
      <c r="C59" s="11"/>
      <c r="D59" s="15" t="s">
        <v>66</v>
      </c>
      <c r="E59" s="99"/>
      <c r="F59" s="59"/>
      <c r="G59" s="59"/>
      <c r="H59" s="59"/>
      <c r="I59" s="290"/>
      <c r="J59" s="300"/>
      <c r="K59" s="53"/>
    </row>
    <row r="60" spans="1:11" ht="15" x14ac:dyDescent="0.25">
      <c r="A60" s="9"/>
      <c r="B60" s="10">
        <v>1</v>
      </c>
      <c r="C60" s="11"/>
      <c r="D60" s="10" t="s">
        <v>67</v>
      </c>
      <c r="E60" s="101">
        <f>E61+E62+E63</f>
        <v>48389.240000000005</v>
      </c>
      <c r="F60" s="56">
        <f>F61+F62+F63</f>
        <v>454538.51</v>
      </c>
      <c r="G60" s="56">
        <f t="shared" ref="G60:I60" si="18">G61+G62+G63</f>
        <v>471520.35000000003</v>
      </c>
      <c r="H60" s="56">
        <f t="shared" si="18"/>
        <v>513.71999999999991</v>
      </c>
      <c r="I60" s="293">
        <f t="shared" si="18"/>
        <v>-3245.93</v>
      </c>
      <c r="J60" s="303">
        <f>J61+J62+J63</f>
        <v>35167.049999999967</v>
      </c>
      <c r="K60" s="231">
        <f>K61+K62+K63</f>
        <v>48389.240000000005</v>
      </c>
    </row>
    <row r="61" spans="1:11" ht="15" x14ac:dyDescent="0.25">
      <c r="A61" s="9"/>
      <c r="B61" s="10"/>
      <c r="C61" s="11" t="s">
        <v>30</v>
      </c>
      <c r="D61" s="26" t="s">
        <v>68</v>
      </c>
      <c r="E61" s="100">
        <f>Attivo!K5-Attivo!Q5</f>
        <v>0</v>
      </c>
      <c r="F61" s="57">
        <f>Attivo!L5</f>
        <v>0</v>
      </c>
      <c r="G61" s="57">
        <f>Attivo!M5</f>
        <v>0</v>
      </c>
      <c r="H61" s="57">
        <f>Attivo!N5</f>
        <v>0</v>
      </c>
      <c r="I61" s="291">
        <f>Attivo!O5+Attivo!R5-Attivo!Q5</f>
        <v>0</v>
      </c>
      <c r="J61" s="301">
        <f>E61+F61-G61+H61-I61</f>
        <v>0</v>
      </c>
      <c r="K61" s="54">
        <f>E61</f>
        <v>0</v>
      </c>
    </row>
    <row r="62" spans="1:11" ht="15" x14ac:dyDescent="0.25">
      <c r="A62" s="9"/>
      <c r="B62" s="10"/>
      <c r="C62" s="11" t="s">
        <v>51</v>
      </c>
      <c r="D62" s="26" t="s">
        <v>69</v>
      </c>
      <c r="E62" s="100">
        <f>Attivo!K14-Attivo!Q14-Attivo!S14</f>
        <v>48389.240000000005</v>
      </c>
      <c r="F62" s="57">
        <f>Attivo!L14</f>
        <v>454538.51</v>
      </c>
      <c r="G62" s="57">
        <f>Attivo!M14</f>
        <v>471520.35000000003</v>
      </c>
      <c r="H62" s="57">
        <f>Attivo!N14+Attivo!S14</f>
        <v>513.71999999999991</v>
      </c>
      <c r="I62" s="291">
        <f>Attivo!O14+Attivo!R14-Attivo!Q14+Attivo!T14</f>
        <v>-3245.93</v>
      </c>
      <c r="J62" s="301">
        <f>E62+F62-G62+H62-I62</f>
        <v>35167.049999999967</v>
      </c>
      <c r="K62" s="54">
        <f>E62</f>
        <v>48389.240000000005</v>
      </c>
    </row>
    <row r="63" spans="1:11" ht="15" x14ac:dyDescent="0.25">
      <c r="A63" s="9"/>
      <c r="B63" s="10"/>
      <c r="C63" s="11" t="s">
        <v>53</v>
      </c>
      <c r="D63" s="26" t="s">
        <v>70</v>
      </c>
      <c r="E63" s="100">
        <f>Attivo!K18-Attivo!Q18</f>
        <v>0</v>
      </c>
      <c r="F63" s="57">
        <f>Attivo!L18</f>
        <v>0</v>
      </c>
      <c r="G63" s="57">
        <f>Attivo!M18</f>
        <v>0</v>
      </c>
      <c r="H63" s="57">
        <f>Attivo!N18</f>
        <v>0</v>
      </c>
      <c r="I63" s="291">
        <f>Attivo!O18+Attivo!R18-Attivo!Q18</f>
        <v>0</v>
      </c>
      <c r="J63" s="301">
        <f>E63+F63-G63+H63-I63</f>
        <v>0</v>
      </c>
      <c r="K63" s="54">
        <f>E63</f>
        <v>0</v>
      </c>
    </row>
    <row r="64" spans="1:11" ht="15" x14ac:dyDescent="0.25">
      <c r="A64" s="9"/>
      <c r="B64" s="10">
        <v>2</v>
      </c>
      <c r="C64" s="11"/>
      <c r="D64" s="10" t="s">
        <v>71</v>
      </c>
      <c r="E64" s="101">
        <f>E65+E66+E67+E68</f>
        <v>676825.25999999989</v>
      </c>
      <c r="F64" s="56">
        <f>F65+F66+F67+F68</f>
        <v>337254.6</v>
      </c>
      <c r="G64" s="56">
        <f t="shared" ref="G64:I64" si="19">G65+G66+G67+G68</f>
        <v>578843.74</v>
      </c>
      <c r="H64" s="56">
        <f t="shared" si="19"/>
        <v>0</v>
      </c>
      <c r="I64" s="293">
        <f t="shared" si="19"/>
        <v>2363.67</v>
      </c>
      <c r="J64" s="303">
        <f>J65+J66+J67+J68</f>
        <v>432872.4499999999</v>
      </c>
      <c r="K64" s="231">
        <f>K65+K66+K67+K68</f>
        <v>676825.25999999989</v>
      </c>
    </row>
    <row r="65" spans="1:11" ht="15" x14ac:dyDescent="0.25">
      <c r="A65" s="9"/>
      <c r="B65" s="10"/>
      <c r="C65" s="11" t="s">
        <v>30</v>
      </c>
      <c r="D65" s="26" t="s">
        <v>72</v>
      </c>
      <c r="E65" s="100">
        <f>Attivo!K42-Attivo!Q42</f>
        <v>671825.25999999989</v>
      </c>
      <c r="F65" s="57">
        <f>Attivo!L42</f>
        <v>337254.6</v>
      </c>
      <c r="G65" s="57">
        <f>Attivo!M42</f>
        <v>578843.74</v>
      </c>
      <c r="H65" s="57">
        <f>Attivo!N42</f>
        <v>0</v>
      </c>
      <c r="I65" s="291">
        <f>Attivo!O42+Attivo!R42-Attivo!Q42</f>
        <v>2363.67</v>
      </c>
      <c r="J65" s="301">
        <f>E65+F65-G65+H65-I65</f>
        <v>427872.4499999999</v>
      </c>
      <c r="K65" s="54">
        <f>E65</f>
        <v>671825.25999999989</v>
      </c>
    </row>
    <row r="66" spans="1:11" ht="15" x14ac:dyDescent="0.25">
      <c r="A66" s="9"/>
      <c r="B66" s="10"/>
      <c r="C66" s="11" t="s">
        <v>51</v>
      </c>
      <c r="D66" s="26" t="s">
        <v>50</v>
      </c>
      <c r="E66" s="100">
        <f>Attivo!K46-Attivo!Q46</f>
        <v>0</v>
      </c>
      <c r="F66" s="57">
        <f>Attivo!L46</f>
        <v>0</v>
      </c>
      <c r="G66" s="57">
        <f>Attivo!M46</f>
        <v>0</v>
      </c>
      <c r="H66" s="57">
        <f>Attivo!N46</f>
        <v>0</v>
      </c>
      <c r="I66" s="291">
        <f>Attivo!O46+Attivo!R46-Attivo!Q46</f>
        <v>0</v>
      </c>
      <c r="J66" s="301">
        <f>E66+F66-G66+H66-I66</f>
        <v>0</v>
      </c>
      <c r="K66" s="54">
        <f>E66</f>
        <v>0</v>
      </c>
    </row>
    <row r="67" spans="1:11" ht="15" x14ac:dyDescent="0.25">
      <c r="A67" s="9"/>
      <c r="B67" s="10"/>
      <c r="C67" s="11" t="s">
        <v>53</v>
      </c>
      <c r="D67" s="23" t="s">
        <v>52</v>
      </c>
      <c r="E67" s="100">
        <f>Attivo!K50-Attivo!Q50</f>
        <v>0</v>
      </c>
      <c r="F67" s="57">
        <f>Attivo!L50</f>
        <v>0</v>
      </c>
      <c r="G67" s="57">
        <f>Attivo!M50</f>
        <v>0</v>
      </c>
      <c r="H67" s="57">
        <f>Attivo!N50</f>
        <v>0</v>
      </c>
      <c r="I67" s="291">
        <f>Attivo!O50+Attivo!R50-Attivo!Q50</f>
        <v>0</v>
      </c>
      <c r="J67" s="301">
        <f>E67+F67-G67+H67-I67</f>
        <v>0</v>
      </c>
      <c r="K67" s="54">
        <f>E67</f>
        <v>0</v>
      </c>
    </row>
    <row r="68" spans="1:11" ht="15" x14ac:dyDescent="0.25">
      <c r="A68" s="9"/>
      <c r="B68" s="10"/>
      <c r="C68" s="11" t="s">
        <v>58</v>
      </c>
      <c r="D68" s="26" t="s">
        <v>73</v>
      </c>
      <c r="E68" s="100">
        <f>Attivo!K55-Attivo!Q55</f>
        <v>5000</v>
      </c>
      <c r="F68" s="57">
        <f>Attivo!L55</f>
        <v>0</v>
      </c>
      <c r="G68" s="57">
        <f>Attivo!M55</f>
        <v>0</v>
      </c>
      <c r="H68" s="57">
        <f>Attivo!N55</f>
        <v>0</v>
      </c>
      <c r="I68" s="291">
        <f>Attivo!O55+Attivo!R55-Attivo!Q55</f>
        <v>0</v>
      </c>
      <c r="J68" s="301">
        <f>E68+F68-G68+H68-I68</f>
        <v>5000</v>
      </c>
      <c r="K68" s="54">
        <f>E68</f>
        <v>5000</v>
      </c>
    </row>
    <row r="69" spans="1:11" ht="15" x14ac:dyDescent="0.25">
      <c r="A69" s="9"/>
      <c r="B69" s="10">
        <v>3</v>
      </c>
      <c r="C69" s="11"/>
      <c r="D69" s="10" t="s">
        <v>74</v>
      </c>
      <c r="E69" s="100">
        <f>Attivo!K70-Attivo!Q70-Attivo!S70</f>
        <v>26006.400000000001</v>
      </c>
      <c r="F69" s="57">
        <f>Attivo!L70</f>
        <v>37599.93</v>
      </c>
      <c r="G69" s="57">
        <f>Attivo!M70</f>
        <v>38390.619999999995</v>
      </c>
      <c r="H69" s="57">
        <f>Attivo!N70+Attivo!S70</f>
        <v>0</v>
      </c>
      <c r="I69" s="291">
        <f>Attivo!O70+Attivo!R70-Attivo!Q70+Attivo!T70</f>
        <v>8589.61</v>
      </c>
      <c r="J69" s="301">
        <f>E69+F69-G69+H69-I69</f>
        <v>16626.100000000006</v>
      </c>
      <c r="K69" s="54">
        <f>E69</f>
        <v>26006.400000000001</v>
      </c>
    </row>
    <row r="70" spans="1:11" ht="15" x14ac:dyDescent="0.25">
      <c r="A70" s="9"/>
      <c r="B70" s="10">
        <v>4</v>
      </c>
      <c r="C70" s="11"/>
      <c r="D70" s="16" t="s">
        <v>75</v>
      </c>
      <c r="E70" s="101">
        <f>E71+E72+E73</f>
        <v>23118.89</v>
      </c>
      <c r="F70" s="56">
        <f>F71+F72+F73</f>
        <v>178882.83</v>
      </c>
      <c r="G70" s="56">
        <f t="shared" ref="G70:I70" si="20">G71+G72+G73</f>
        <v>188144.97999999998</v>
      </c>
      <c r="H70" s="56">
        <f t="shared" si="20"/>
        <v>494.05</v>
      </c>
      <c r="I70" s="293">
        <f t="shared" si="20"/>
        <v>4501.1399999999994</v>
      </c>
      <c r="J70" s="303">
        <f>J71+J72+J73</f>
        <v>9849.650000000016</v>
      </c>
      <c r="K70" s="231">
        <f>K71+K72+K73</f>
        <v>23118.89</v>
      </c>
    </row>
    <row r="71" spans="1:11" ht="15" x14ac:dyDescent="0.25">
      <c r="A71" s="9"/>
      <c r="B71" s="10"/>
      <c r="C71" s="11" t="s">
        <v>30</v>
      </c>
      <c r="D71" s="26" t="s">
        <v>76</v>
      </c>
      <c r="E71" s="100">
        <f>Attivo!K74+Altre!C130-Attivo!Q74</f>
        <v>271</v>
      </c>
      <c r="F71" s="57">
        <f>Attivo!L74</f>
        <v>0</v>
      </c>
      <c r="G71" s="57">
        <f>Attivo!M74</f>
        <v>0</v>
      </c>
      <c r="H71" s="57">
        <f>Attivo!N74</f>
        <v>0</v>
      </c>
      <c r="I71" s="291">
        <f>Attivo!O74+Attivo!R74-Attivo!Q74+Altre!C130</f>
        <v>271</v>
      </c>
      <c r="J71" s="301">
        <f>E71+F71-G71+H71-I71</f>
        <v>0</v>
      </c>
      <c r="K71" s="54">
        <f>E71</f>
        <v>271</v>
      </c>
    </row>
    <row r="72" spans="1:11" ht="15" x14ac:dyDescent="0.25">
      <c r="A72" s="9"/>
      <c r="B72" s="10"/>
      <c r="C72" s="11" t="s">
        <v>51</v>
      </c>
      <c r="D72" s="26" t="s">
        <v>77</v>
      </c>
      <c r="E72" s="100">
        <f>Attivo!K79-Attivo!Q79-Attivo!S79</f>
        <v>2891.85</v>
      </c>
      <c r="F72" s="57">
        <f>Attivo!L79</f>
        <v>5907.29</v>
      </c>
      <c r="G72" s="57">
        <f>Attivo!M79</f>
        <v>3037.2</v>
      </c>
      <c r="H72" s="57">
        <f>Attivo!N79+Attivo!S79</f>
        <v>0</v>
      </c>
      <c r="I72" s="291">
        <f>Attivo!O79+Attivo!R79-Attivo!Q79+Attivo!T79</f>
        <v>2891.85</v>
      </c>
      <c r="J72" s="301">
        <f>E72+F72-G72+H72-I72</f>
        <v>2870.0899999999997</v>
      </c>
      <c r="K72" s="54">
        <f>E72</f>
        <v>2891.85</v>
      </c>
    </row>
    <row r="73" spans="1:11" ht="15" x14ac:dyDescent="0.25">
      <c r="A73" s="9"/>
      <c r="B73" s="10"/>
      <c r="C73" s="11" t="s">
        <v>53</v>
      </c>
      <c r="D73" s="23" t="s">
        <v>78</v>
      </c>
      <c r="E73" s="100">
        <f>Attivo!K95-Attivo!Q95-Attivo!S95</f>
        <v>19956.04</v>
      </c>
      <c r="F73" s="57">
        <f>Attivo!L95</f>
        <v>172975.53999999998</v>
      </c>
      <c r="G73" s="57">
        <f>Attivo!M95</f>
        <v>185107.77999999997</v>
      </c>
      <c r="H73" s="57">
        <f>Attivo!N95+Attivo!S95</f>
        <v>494.05</v>
      </c>
      <c r="I73" s="291">
        <f>Attivo!O95+Attivo!R95-Attivo!Q95+Attivo!T95</f>
        <v>1338.29</v>
      </c>
      <c r="J73" s="301">
        <f>E73+F73-G73+H73-I73</f>
        <v>6979.5600000000168</v>
      </c>
      <c r="K73" s="54">
        <f>E73</f>
        <v>19956.04</v>
      </c>
    </row>
    <row r="74" spans="1:11" ht="15" x14ac:dyDescent="0.25">
      <c r="A74" s="9"/>
      <c r="B74" s="10"/>
      <c r="C74" s="11"/>
      <c r="D74" s="17" t="s">
        <v>79</v>
      </c>
      <c r="E74" s="60">
        <f>E60+E64+E69+E70</f>
        <v>774339.78999999992</v>
      </c>
      <c r="F74" s="58">
        <f>F60+F64+F69+F70</f>
        <v>1008275.87</v>
      </c>
      <c r="G74" s="58">
        <f t="shared" ref="G74:I74" si="21">G60+G64+G69+G70</f>
        <v>1276899.69</v>
      </c>
      <c r="H74" s="58">
        <f t="shared" si="21"/>
        <v>1007.77</v>
      </c>
      <c r="I74" s="292">
        <f t="shared" si="21"/>
        <v>12208.49</v>
      </c>
      <c r="J74" s="302">
        <f>J60+J64+J69+J70</f>
        <v>494515.24999999988</v>
      </c>
      <c r="K74" s="55">
        <f>K60+K64+K69+K70</f>
        <v>774339.78999999992</v>
      </c>
    </row>
    <row r="75" spans="1:11" ht="15" x14ac:dyDescent="0.25">
      <c r="A75" s="9"/>
      <c r="B75" s="10"/>
      <c r="C75" s="11"/>
      <c r="D75" s="17"/>
      <c r="E75" s="99"/>
      <c r="F75" s="59"/>
      <c r="G75" s="59"/>
      <c r="H75" s="59"/>
      <c r="I75" s="290"/>
      <c r="J75" s="300"/>
      <c r="K75" s="53"/>
    </row>
    <row r="76" spans="1:11" ht="15" x14ac:dyDescent="0.25">
      <c r="A76" s="9" t="s">
        <v>25</v>
      </c>
      <c r="B76" s="10"/>
      <c r="C76" s="11"/>
      <c r="D76" s="20" t="s">
        <v>80</v>
      </c>
      <c r="E76" s="99"/>
      <c r="F76" s="59"/>
      <c r="G76" s="59"/>
      <c r="H76" s="59"/>
      <c r="I76" s="290"/>
      <c r="J76" s="300"/>
      <c r="K76" s="53"/>
    </row>
    <row r="77" spans="1:11" ht="15" x14ac:dyDescent="0.25">
      <c r="A77" s="9"/>
      <c r="B77" s="10">
        <v>1</v>
      </c>
      <c r="C77" s="11"/>
      <c r="D77" s="10" t="s">
        <v>81</v>
      </c>
      <c r="E77" s="100">
        <v>0</v>
      </c>
      <c r="F77" s="57">
        <v>0</v>
      </c>
      <c r="G77" s="57">
        <v>0</v>
      </c>
      <c r="H77" s="57">
        <v>0</v>
      </c>
      <c r="I77" s="291">
        <v>0</v>
      </c>
      <c r="J77" s="301">
        <f t="shared" ref="J77:J78" si="22">E77+F77-G77+H77-I77</f>
        <v>0</v>
      </c>
      <c r="K77" s="54">
        <f>E77</f>
        <v>0</v>
      </c>
    </row>
    <row r="78" spans="1:11" ht="15" x14ac:dyDescent="0.25">
      <c r="A78" s="9"/>
      <c r="B78" s="10">
        <v>2</v>
      </c>
      <c r="C78" s="11"/>
      <c r="D78" s="10" t="s">
        <v>60</v>
      </c>
      <c r="E78" s="100">
        <v>0</v>
      </c>
      <c r="F78" s="57">
        <v>0</v>
      </c>
      <c r="G78" s="57">
        <v>0</v>
      </c>
      <c r="H78" s="57">
        <v>0</v>
      </c>
      <c r="I78" s="291">
        <v>0</v>
      </c>
      <c r="J78" s="301">
        <f t="shared" si="22"/>
        <v>0</v>
      </c>
      <c r="K78" s="54">
        <f>E78</f>
        <v>0</v>
      </c>
    </row>
    <row r="79" spans="1:11" ht="15" x14ac:dyDescent="0.25">
      <c r="A79" s="9"/>
      <c r="B79" s="10"/>
      <c r="C79" s="11"/>
      <c r="D79" s="17" t="s">
        <v>82</v>
      </c>
      <c r="E79" s="60">
        <f>E77+E78</f>
        <v>0</v>
      </c>
      <c r="F79" s="58">
        <f>F77+F78</f>
        <v>0</v>
      </c>
      <c r="G79" s="58">
        <f t="shared" ref="G79:I79" si="23">G77+G78</f>
        <v>0</v>
      </c>
      <c r="H79" s="58">
        <f t="shared" si="23"/>
        <v>0</v>
      </c>
      <c r="I79" s="292">
        <f t="shared" si="23"/>
        <v>0</v>
      </c>
      <c r="J79" s="302">
        <f>J77+J78</f>
        <v>0</v>
      </c>
      <c r="K79" s="55">
        <f>K77+K78</f>
        <v>0</v>
      </c>
    </row>
    <row r="80" spans="1:11" ht="15" x14ac:dyDescent="0.25">
      <c r="A80" s="9"/>
      <c r="B80" s="10"/>
      <c r="C80" s="11"/>
      <c r="D80" s="17"/>
      <c r="E80" s="99"/>
      <c r="F80" s="59"/>
      <c r="G80" s="59"/>
      <c r="H80" s="59"/>
      <c r="I80" s="290"/>
      <c r="J80" s="300"/>
      <c r="K80" s="53"/>
    </row>
    <row r="81" spans="1:11" ht="15" customHeight="1" x14ac:dyDescent="0.25">
      <c r="A81" s="9" t="s">
        <v>47</v>
      </c>
      <c r="B81" s="10"/>
      <c r="C81" s="11"/>
      <c r="D81" s="15" t="s">
        <v>83</v>
      </c>
      <c r="E81" s="99"/>
      <c r="F81" s="59"/>
      <c r="G81" s="59"/>
      <c r="H81" s="59"/>
      <c r="I81" s="290"/>
      <c r="J81" s="300"/>
      <c r="K81" s="53"/>
    </row>
    <row r="82" spans="1:11" ht="15" customHeight="1" x14ac:dyDescent="0.25">
      <c r="A82" s="9"/>
      <c r="B82" s="10">
        <v>1</v>
      </c>
      <c r="C82" s="11"/>
      <c r="D82" s="10" t="s">
        <v>84</v>
      </c>
      <c r="E82" s="101">
        <f>E83+E84</f>
        <v>228313.58</v>
      </c>
      <c r="F82" s="56">
        <f>F83+F84</f>
        <v>1276899.69</v>
      </c>
      <c r="G82" s="56">
        <f t="shared" ref="G82:I82" si="24">G83+G84</f>
        <v>1213629.7700000005</v>
      </c>
      <c r="H82" s="56">
        <f t="shared" si="24"/>
        <v>0</v>
      </c>
      <c r="I82" s="293">
        <f t="shared" si="24"/>
        <v>0</v>
      </c>
      <c r="J82" s="303">
        <f>J83+J84</f>
        <v>291583.49999999953</v>
      </c>
      <c r="K82" s="231">
        <f>K83+K84</f>
        <v>228313.58</v>
      </c>
    </row>
    <row r="83" spans="1:11" ht="15" customHeight="1" x14ac:dyDescent="0.25">
      <c r="A83" s="9"/>
      <c r="B83" s="10"/>
      <c r="C83" s="11" t="s">
        <v>30</v>
      </c>
      <c r="D83" s="26" t="s">
        <v>85</v>
      </c>
      <c r="E83" s="100">
        <f>Altre!C58</f>
        <v>228313.58</v>
      </c>
      <c r="F83" s="57">
        <f>Altre!D58</f>
        <v>1276899.69</v>
      </c>
      <c r="G83" s="57">
        <f>Altre!E58</f>
        <v>1213629.7700000005</v>
      </c>
      <c r="H83" s="57">
        <v>0</v>
      </c>
      <c r="I83" s="291">
        <v>0</v>
      </c>
      <c r="J83" s="301">
        <f t="shared" ref="J83:J87" si="25">E83+F83-G83+H83-I83</f>
        <v>291583.49999999953</v>
      </c>
      <c r="K83" s="54">
        <f>E83</f>
        <v>228313.58</v>
      </c>
    </row>
    <row r="84" spans="1:11" ht="15" customHeight="1" x14ac:dyDescent="0.25">
      <c r="A84" s="9"/>
      <c r="B84" s="10"/>
      <c r="C84" s="11" t="s">
        <v>51</v>
      </c>
      <c r="D84" s="26" t="s">
        <v>86</v>
      </c>
      <c r="E84" s="100">
        <v>0</v>
      </c>
      <c r="F84" s="57">
        <v>0</v>
      </c>
      <c r="G84" s="57">
        <v>0</v>
      </c>
      <c r="H84" s="57">
        <v>0</v>
      </c>
      <c r="I84" s="291">
        <v>0</v>
      </c>
      <c r="J84" s="301">
        <f t="shared" si="25"/>
        <v>0</v>
      </c>
      <c r="K84" s="54">
        <f>E84</f>
        <v>0</v>
      </c>
    </row>
    <row r="85" spans="1:11" ht="15" x14ac:dyDescent="0.25">
      <c r="A85" s="9"/>
      <c r="B85" s="10">
        <v>2</v>
      </c>
      <c r="C85" s="11"/>
      <c r="D85" s="10" t="s">
        <v>87</v>
      </c>
      <c r="E85" s="100">
        <f>Attivo!K99+Altre!C65</f>
        <v>0</v>
      </c>
      <c r="F85" s="57">
        <f>Attivo!L99</f>
        <v>0</v>
      </c>
      <c r="G85" s="57">
        <f>Attivo!M99</f>
        <v>0</v>
      </c>
      <c r="H85" s="57">
        <f>Attivo!N99+Altre!D65</f>
        <v>0</v>
      </c>
      <c r="I85" s="291">
        <f>Attivo!O99+Altre!C65</f>
        <v>0</v>
      </c>
      <c r="J85" s="301">
        <f t="shared" si="25"/>
        <v>0</v>
      </c>
      <c r="K85" s="54">
        <f>E85</f>
        <v>0</v>
      </c>
    </row>
    <row r="86" spans="1:11" ht="15" x14ac:dyDescent="0.25">
      <c r="A86" s="9"/>
      <c r="B86" s="10">
        <v>3</v>
      </c>
      <c r="C86" s="11"/>
      <c r="D86" s="16" t="s">
        <v>88</v>
      </c>
      <c r="E86" s="100">
        <v>0</v>
      </c>
      <c r="F86" s="57">
        <v>0</v>
      </c>
      <c r="G86" s="57">
        <v>0</v>
      </c>
      <c r="H86" s="57">
        <v>0</v>
      </c>
      <c r="I86" s="291">
        <v>0</v>
      </c>
      <c r="J86" s="301">
        <f t="shared" si="25"/>
        <v>0</v>
      </c>
      <c r="K86" s="54">
        <f>E86</f>
        <v>0</v>
      </c>
    </row>
    <row r="87" spans="1:11" ht="15" x14ac:dyDescent="0.25">
      <c r="A87" s="9"/>
      <c r="B87" s="10">
        <v>4</v>
      </c>
      <c r="C87" s="11"/>
      <c r="D87" s="31" t="s">
        <v>89</v>
      </c>
      <c r="E87" s="100">
        <v>0</v>
      </c>
      <c r="F87" s="57">
        <v>0</v>
      </c>
      <c r="G87" s="57">
        <v>0</v>
      </c>
      <c r="H87" s="57">
        <v>0</v>
      </c>
      <c r="I87" s="291">
        <v>0</v>
      </c>
      <c r="J87" s="301">
        <f t="shared" si="25"/>
        <v>0</v>
      </c>
      <c r="K87" s="54">
        <f>E87</f>
        <v>0</v>
      </c>
    </row>
    <row r="88" spans="1:11" ht="15.75" thickBot="1" x14ac:dyDescent="0.3">
      <c r="A88" s="9"/>
      <c r="B88" s="10"/>
      <c r="C88" s="11"/>
      <c r="D88" s="17" t="s">
        <v>90</v>
      </c>
      <c r="E88" s="102">
        <f>E82+E85+E86+E87</f>
        <v>228313.58</v>
      </c>
      <c r="F88" s="106">
        <f>F82+F85+F86+F87</f>
        <v>1276899.69</v>
      </c>
      <c r="G88" s="106">
        <f t="shared" ref="G88:I88" si="26">G82+G85+G86+G87</f>
        <v>1213629.7700000005</v>
      </c>
      <c r="H88" s="106">
        <f t="shared" si="26"/>
        <v>0</v>
      </c>
      <c r="I88" s="294">
        <f t="shared" si="26"/>
        <v>0</v>
      </c>
      <c r="J88" s="304">
        <f>J82+J85+J86+J87</f>
        <v>291583.49999999953</v>
      </c>
      <c r="K88" s="237">
        <f>K82+K85+K86+K87</f>
        <v>228313.58</v>
      </c>
    </row>
    <row r="89" spans="1:11" ht="15.75" customHeight="1" thickBot="1" x14ac:dyDescent="0.3">
      <c r="A89" s="9"/>
      <c r="B89" s="10"/>
      <c r="C89" s="11"/>
      <c r="D89" s="17" t="s">
        <v>91</v>
      </c>
      <c r="E89" s="61">
        <f>E58+E74+E79+E88</f>
        <v>1002653.3699999999</v>
      </c>
      <c r="F89" s="177">
        <f t="shared" ref="F89:I89" si="27">F58+F74+F79+F88</f>
        <v>2285175.56</v>
      </c>
      <c r="G89" s="52">
        <f t="shared" si="27"/>
        <v>2490529.4600000004</v>
      </c>
      <c r="H89" s="52">
        <f t="shared" si="27"/>
        <v>1007.77</v>
      </c>
      <c r="I89" s="177">
        <f t="shared" si="27"/>
        <v>12208.49</v>
      </c>
      <c r="J89" s="299">
        <f>J58+J74+J79+J88</f>
        <v>786098.74999999942</v>
      </c>
      <c r="K89" s="232">
        <f>K58+K74+K79+K88</f>
        <v>1002653.3699999999</v>
      </c>
    </row>
    <row r="90" spans="1:11" ht="15" x14ac:dyDescent="0.25">
      <c r="A90" s="9"/>
      <c r="B90" s="10"/>
      <c r="C90" s="11"/>
      <c r="D90" s="10"/>
      <c r="E90" s="99"/>
      <c r="F90" s="59"/>
      <c r="G90" s="59"/>
      <c r="H90" s="59"/>
      <c r="I90" s="290"/>
      <c r="J90" s="300"/>
      <c r="K90" s="53"/>
    </row>
    <row r="91" spans="1:11" ht="15" x14ac:dyDescent="0.25">
      <c r="A91" s="9"/>
      <c r="B91" s="10"/>
      <c r="C91" s="11"/>
      <c r="D91" s="14" t="s">
        <v>92</v>
      </c>
      <c r="E91" s="99"/>
      <c r="F91" s="59"/>
      <c r="G91" s="59"/>
      <c r="H91" s="59"/>
      <c r="I91" s="290"/>
      <c r="J91" s="300"/>
      <c r="K91" s="53"/>
    </row>
    <row r="92" spans="1:11" ht="15" x14ac:dyDescent="0.25">
      <c r="A92" s="9" t="s">
        <v>27</v>
      </c>
      <c r="B92" s="10">
        <v>1</v>
      </c>
      <c r="C92" s="11"/>
      <c r="D92" s="10" t="s">
        <v>93</v>
      </c>
      <c r="E92" s="100">
        <f>Altre!C124</f>
        <v>0</v>
      </c>
      <c r="F92" s="57">
        <v>0</v>
      </c>
      <c r="G92" s="57">
        <v>0</v>
      </c>
      <c r="H92" s="57">
        <f>Altre!D124</f>
        <v>0</v>
      </c>
      <c r="I92" s="291">
        <f>Altre!C124</f>
        <v>0</v>
      </c>
      <c r="J92" s="301">
        <f t="shared" ref="J92:J93" si="28">E92+F92-G92+H92-I92</f>
        <v>0</v>
      </c>
      <c r="K92" s="54">
        <f>E92</f>
        <v>0</v>
      </c>
    </row>
    <row r="93" spans="1:11" ht="15.75" thickBot="1" x14ac:dyDescent="0.3">
      <c r="A93" s="9" t="s">
        <v>27</v>
      </c>
      <c r="B93" s="10">
        <v>2</v>
      </c>
      <c r="C93" s="11"/>
      <c r="D93" s="10" t="s">
        <v>94</v>
      </c>
      <c r="E93" s="100">
        <f>Altre!C125</f>
        <v>851.4</v>
      </c>
      <c r="F93" s="57">
        <v>0</v>
      </c>
      <c r="G93" s="57">
        <v>0</v>
      </c>
      <c r="H93" s="57">
        <f>Altre!D125</f>
        <v>1062.4100000000001</v>
      </c>
      <c r="I93" s="291">
        <f>Altre!C125</f>
        <v>851.4</v>
      </c>
      <c r="J93" s="301">
        <f t="shared" si="28"/>
        <v>1062.4099999999999</v>
      </c>
      <c r="K93" s="54">
        <f>E93</f>
        <v>851.4</v>
      </c>
    </row>
    <row r="94" spans="1:11" ht="15.75" thickBot="1" x14ac:dyDescent="0.3">
      <c r="A94" s="9"/>
      <c r="B94" s="10"/>
      <c r="C94" s="11"/>
      <c r="D94" s="17" t="s">
        <v>95</v>
      </c>
      <c r="E94" s="61">
        <f>E92+E93</f>
        <v>851.4</v>
      </c>
      <c r="F94" s="52">
        <f>F92+F93</f>
        <v>0</v>
      </c>
      <c r="G94" s="52">
        <f t="shared" ref="G94:I94" si="29">G92+G93</f>
        <v>0</v>
      </c>
      <c r="H94" s="52">
        <f t="shared" si="29"/>
        <v>1062.4100000000001</v>
      </c>
      <c r="I94" s="177">
        <f t="shared" si="29"/>
        <v>851.4</v>
      </c>
      <c r="J94" s="299">
        <f>J92+J93</f>
        <v>1062.4099999999999</v>
      </c>
      <c r="K94" s="232">
        <f>K92+K93</f>
        <v>851.4</v>
      </c>
    </row>
    <row r="95" spans="1:11" ht="15.75" thickBot="1" x14ac:dyDescent="0.3">
      <c r="A95" s="9"/>
      <c r="B95" s="10"/>
      <c r="C95" s="11"/>
      <c r="D95" s="17"/>
      <c r="E95" s="99"/>
      <c r="F95" s="59"/>
      <c r="G95" s="59"/>
      <c r="H95" s="59"/>
      <c r="I95" s="290"/>
      <c r="J95" s="300"/>
      <c r="K95" s="53"/>
    </row>
    <row r="96" spans="1:11" ht="15.75" thickBot="1" x14ac:dyDescent="0.3">
      <c r="A96" s="6"/>
      <c r="B96" s="7"/>
      <c r="C96" s="8"/>
      <c r="D96" s="32" t="s">
        <v>96</v>
      </c>
      <c r="E96" s="62">
        <f t="shared" ref="E96:J96" si="30">E7+E54+E89+E94</f>
        <v>9000998.9000000004</v>
      </c>
      <c r="F96" s="63">
        <f t="shared" si="30"/>
        <v>2607895.84</v>
      </c>
      <c r="G96" s="63">
        <f t="shared" si="30"/>
        <v>2490529.4600000004</v>
      </c>
      <c r="H96" s="63">
        <f t="shared" si="30"/>
        <v>220618.02</v>
      </c>
      <c r="I96" s="295">
        <f t="shared" si="30"/>
        <v>487364.48</v>
      </c>
      <c r="J96" s="305">
        <f t="shared" si="30"/>
        <v>8851618.8199999984</v>
      </c>
      <c r="K96" s="234">
        <f t="shared" ref="K96" si="31">K7+K54+K89+K94</f>
        <v>9000998.9000000004</v>
      </c>
    </row>
    <row r="97" spans="1:10" ht="15.75" thickTop="1" x14ac:dyDescent="0.25">
      <c r="A97" s="33"/>
      <c r="B97" s="34"/>
      <c r="C97" s="34"/>
      <c r="D97" s="10"/>
      <c r="E97" s="10"/>
      <c r="F97" s="10"/>
      <c r="G97" s="10"/>
      <c r="H97" s="10"/>
      <c r="I97" s="10"/>
      <c r="J97" s="10"/>
    </row>
    <row r="98" spans="1:10" ht="15" x14ac:dyDescent="0.25">
      <c r="A98" s="33"/>
      <c r="B98" s="34"/>
      <c r="C98" s="34"/>
      <c r="D98" s="10"/>
      <c r="E98" s="10"/>
      <c r="F98" s="10"/>
      <c r="G98" s="10"/>
      <c r="H98" s="10"/>
      <c r="I98" s="10"/>
      <c r="J98" s="10"/>
    </row>
    <row r="99" spans="1:10" ht="15" x14ac:dyDescent="0.25">
      <c r="A99" s="33"/>
      <c r="B99" s="34"/>
      <c r="C99" s="34"/>
      <c r="D99" s="34"/>
      <c r="E99" s="34"/>
      <c r="F99" s="34"/>
      <c r="G99" s="34"/>
      <c r="H99" s="34"/>
      <c r="I99" s="34"/>
      <c r="J99" s="34"/>
    </row>
    <row r="100" spans="1:10" ht="15" x14ac:dyDescent="0.25">
      <c r="A100" s="33"/>
      <c r="B100" s="34"/>
      <c r="C100" s="34"/>
      <c r="D100" s="34"/>
      <c r="E100" s="34"/>
      <c r="F100" s="34"/>
      <c r="G100" s="34"/>
      <c r="H100" s="34"/>
      <c r="I100" s="34"/>
      <c r="J100" s="34"/>
    </row>
    <row r="101" spans="1:10" ht="15" x14ac:dyDescent="0.25">
      <c r="A101" s="33"/>
      <c r="B101" s="34"/>
      <c r="C101" s="34"/>
    </row>
    <row r="102" spans="1:10" ht="15" x14ac:dyDescent="0.25">
      <c r="A102" s="33"/>
      <c r="B102" s="34"/>
      <c r="C102" s="34"/>
    </row>
  </sheetData>
  <mergeCells count="5">
    <mergeCell ref="D3:D4"/>
    <mergeCell ref="E3:E4"/>
    <mergeCell ref="J3:J4"/>
    <mergeCell ref="K3:K4"/>
    <mergeCell ref="A1:K1"/>
  </mergeCells>
  <printOptions horizontalCentered="1"/>
  <pageMargins left="0" right="0" top="0.39370078740157483" bottom="0" header="0.35433070866141736" footer="0.31496062992125984"/>
  <pageSetup paperSize="9" scale="95" orientation="portrait" r:id="rId1"/>
  <rowBreaks count="1" manualBreakCount="1">
    <brk id="5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71"/>
  <sheetViews>
    <sheetView zoomScaleNormal="100" workbookViewId="0">
      <selection activeCell="D3" sqref="D3:D4"/>
    </sheetView>
  </sheetViews>
  <sheetFormatPr defaultRowHeight="12.75" x14ac:dyDescent="0.2"/>
  <cols>
    <col min="1" max="1" width="3.28515625" style="48" customWidth="1"/>
    <col min="2" max="2" width="4.7109375" style="48" customWidth="1"/>
    <col min="3" max="3" width="2.5703125" style="48" bestFit="1" customWidth="1"/>
    <col min="4" max="4" width="53" style="48" customWidth="1"/>
    <col min="5" max="5" width="15.7109375" style="1" hidden="1" customWidth="1"/>
    <col min="6" max="6" width="14.42578125" style="1" hidden="1" customWidth="1"/>
    <col min="7" max="7" width="16" style="1" hidden="1" customWidth="1"/>
    <col min="8" max="8" width="13.42578125" style="1" hidden="1" customWidth="1"/>
    <col min="9" max="9" width="16" style="1" hidden="1" customWidth="1"/>
    <col min="10" max="11" width="15.7109375" style="1" customWidth="1"/>
    <col min="12" max="16384" width="9.140625" style="1"/>
  </cols>
  <sheetData>
    <row r="1" spans="1:21" ht="21" x14ac:dyDescent="0.35">
      <c r="A1" s="513" t="s">
        <v>711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</row>
    <row r="2" spans="1:21" ht="13.5" thickBot="1" x14ac:dyDescent="0.25">
      <c r="A2" s="2"/>
      <c r="B2" s="1"/>
      <c r="C2" s="1"/>
      <c r="D2" s="1"/>
    </row>
    <row r="3" spans="1:21" ht="15.75" customHeight="1" thickTop="1" x14ac:dyDescent="0.25">
      <c r="A3" s="35"/>
      <c r="B3" s="4"/>
      <c r="C3" s="4"/>
      <c r="D3" s="525" t="s">
        <v>97</v>
      </c>
      <c r="E3" s="520">
        <v>2024</v>
      </c>
      <c r="F3" s="107"/>
      <c r="G3" s="107"/>
      <c r="H3" s="107"/>
      <c r="I3" s="49"/>
      <c r="J3" s="520">
        <v>2025</v>
      </c>
      <c r="K3" s="523">
        <v>2024</v>
      </c>
    </row>
    <row r="4" spans="1:21" ht="39" thickBot="1" x14ac:dyDescent="0.3">
      <c r="A4" s="36"/>
      <c r="B4" s="7"/>
      <c r="C4" s="7"/>
      <c r="D4" s="526"/>
      <c r="E4" s="521"/>
      <c r="F4" s="103" t="s">
        <v>215</v>
      </c>
      <c r="G4" s="103" t="s">
        <v>216</v>
      </c>
      <c r="H4" s="103" t="s">
        <v>217</v>
      </c>
      <c r="I4" s="296" t="s">
        <v>218</v>
      </c>
      <c r="J4" s="522"/>
      <c r="K4" s="524"/>
    </row>
    <row r="5" spans="1:21" ht="15.75" thickTop="1" x14ac:dyDescent="0.25">
      <c r="A5" s="35"/>
      <c r="B5" s="4"/>
      <c r="C5" s="5"/>
      <c r="D5" s="14" t="s">
        <v>98</v>
      </c>
      <c r="E5" s="108"/>
      <c r="F5" s="51"/>
      <c r="G5" s="51"/>
      <c r="H5" s="51"/>
      <c r="I5" s="306"/>
      <c r="J5" s="308"/>
      <c r="K5" s="230"/>
    </row>
    <row r="6" spans="1:21" ht="15" x14ac:dyDescent="0.25">
      <c r="A6" s="37" t="s">
        <v>4</v>
      </c>
      <c r="B6" s="10"/>
      <c r="C6" s="11"/>
      <c r="D6" s="10" t="s">
        <v>99</v>
      </c>
      <c r="E6" s="100">
        <f>Altre!C23</f>
        <v>0</v>
      </c>
      <c r="F6" s="57"/>
      <c r="G6" s="57"/>
      <c r="H6" s="57"/>
      <c r="I6" s="291"/>
      <c r="J6" s="301">
        <f>E6+F6-G6+H6-I6</f>
        <v>0</v>
      </c>
      <c r="K6" s="54">
        <f>E6</f>
        <v>0</v>
      </c>
    </row>
    <row r="7" spans="1:21" ht="15" x14ac:dyDescent="0.25">
      <c r="A7" s="37" t="s">
        <v>15</v>
      </c>
      <c r="B7" s="10"/>
      <c r="C7" s="11"/>
      <c r="D7" s="10" t="s">
        <v>100</v>
      </c>
      <c r="E7" s="101">
        <f t="shared" ref="E7:K7" si="0">SUM(E8:E12)</f>
        <v>6656994.5899999999</v>
      </c>
      <c r="F7" s="56">
        <f t="shared" si="0"/>
        <v>26848.5</v>
      </c>
      <c r="G7" s="56">
        <f t="shared" si="0"/>
        <v>0</v>
      </c>
      <c r="H7" s="56">
        <f t="shared" si="0"/>
        <v>12682.730000000003</v>
      </c>
      <c r="I7" s="293">
        <f t="shared" si="0"/>
        <v>-75935.439999999478</v>
      </c>
      <c r="J7" s="303">
        <f t="shared" si="0"/>
        <v>6772461.2599999998</v>
      </c>
      <c r="K7" s="231">
        <f t="shared" si="0"/>
        <v>6656994.5899999999</v>
      </c>
    </row>
    <row r="8" spans="1:21" ht="15" x14ac:dyDescent="0.25">
      <c r="A8" s="37"/>
      <c r="B8" s="10" t="s">
        <v>51</v>
      </c>
      <c r="C8" s="11"/>
      <c r="D8" s="26" t="s">
        <v>101</v>
      </c>
      <c r="E8" s="100">
        <f>Altre!C24</f>
        <v>0</v>
      </c>
      <c r="F8" s="57"/>
      <c r="G8" s="57"/>
      <c r="H8" s="57"/>
      <c r="I8" s="291"/>
      <c r="J8" s="301">
        <f t="shared" ref="J8:J15" si="1">E8+F8-G8+H8-I8</f>
        <v>0</v>
      </c>
      <c r="K8" s="54">
        <f t="shared" ref="K8:K15" si="2">E8</f>
        <v>0</v>
      </c>
    </row>
    <row r="9" spans="1:21" ht="15" x14ac:dyDescent="0.25">
      <c r="A9" s="37"/>
      <c r="B9" s="10" t="s">
        <v>53</v>
      </c>
      <c r="C9" s="11"/>
      <c r="D9" s="26" t="s">
        <v>102</v>
      </c>
      <c r="E9" s="100">
        <f>Altre!C25</f>
        <v>0</v>
      </c>
      <c r="F9" s="57">
        <f>Altre!D44-Altre!C45</f>
        <v>26848.5</v>
      </c>
      <c r="G9" s="57">
        <f>Altre!C47</f>
        <v>0</v>
      </c>
      <c r="H9" s="57">
        <f>Altre!H44</f>
        <v>0</v>
      </c>
      <c r="I9" s="291">
        <f>Altre!D164</f>
        <v>26848.5</v>
      </c>
      <c r="J9" s="301">
        <f t="shared" si="1"/>
        <v>0</v>
      </c>
      <c r="K9" s="54">
        <f t="shared" si="2"/>
        <v>0</v>
      </c>
    </row>
    <row r="10" spans="1:21" ht="30" x14ac:dyDescent="0.25">
      <c r="A10" s="37"/>
      <c r="B10" s="50" t="s">
        <v>58</v>
      </c>
      <c r="C10" s="11"/>
      <c r="D10" s="23" t="s">
        <v>103</v>
      </c>
      <c r="E10" s="100">
        <f>Altre!C26</f>
        <v>6633592.5700000003</v>
      </c>
      <c r="F10" s="57"/>
      <c r="G10" s="57"/>
      <c r="H10" s="57"/>
      <c r="I10" s="291">
        <f>-Altre!D164-Altre!D165</f>
        <v>-102783.93999999948</v>
      </c>
      <c r="J10" s="301">
        <f t="shared" si="1"/>
        <v>6736376.5099999998</v>
      </c>
      <c r="K10" s="54">
        <f t="shared" si="2"/>
        <v>6633592.5700000003</v>
      </c>
    </row>
    <row r="11" spans="1:21" ht="15" x14ac:dyDescent="0.25">
      <c r="A11" s="37"/>
      <c r="B11" s="10" t="s">
        <v>104</v>
      </c>
      <c r="C11" s="11"/>
      <c r="D11" s="23" t="s">
        <v>105</v>
      </c>
      <c r="E11" s="100">
        <f>Altre!C27</f>
        <v>23402.02</v>
      </c>
      <c r="F11" s="57"/>
      <c r="G11" s="57"/>
      <c r="H11" s="57">
        <f>Altre!F110+Altre!F114+Altre!F118</f>
        <v>12682.730000000003</v>
      </c>
      <c r="I11" s="291"/>
      <c r="J11" s="301">
        <f t="shared" si="1"/>
        <v>36084.75</v>
      </c>
      <c r="K11" s="54">
        <f t="shared" si="2"/>
        <v>23402.02</v>
      </c>
    </row>
    <row r="12" spans="1:21" ht="15" x14ac:dyDescent="0.25">
      <c r="A12" s="37"/>
      <c r="B12" s="324" t="s">
        <v>437</v>
      </c>
      <c r="C12" s="323"/>
      <c r="D12" s="325" t="s">
        <v>438</v>
      </c>
      <c r="E12" s="100">
        <f>Altre!C28</f>
        <v>0</v>
      </c>
      <c r="F12" s="57"/>
      <c r="G12" s="57"/>
      <c r="H12" s="57"/>
      <c r="I12" s="291"/>
      <c r="J12" s="301">
        <f t="shared" si="1"/>
        <v>0</v>
      </c>
      <c r="K12" s="54">
        <f t="shared" si="2"/>
        <v>0</v>
      </c>
    </row>
    <row r="13" spans="1:21" ht="15" x14ac:dyDescent="0.25">
      <c r="A13" s="37" t="s">
        <v>25</v>
      </c>
      <c r="B13" s="10"/>
      <c r="C13" s="11"/>
      <c r="D13" s="10" t="s">
        <v>106</v>
      </c>
      <c r="E13" s="100">
        <f>Altre!C29</f>
        <v>0</v>
      </c>
      <c r="F13" s="57"/>
      <c r="G13" s="57"/>
      <c r="H13" s="57"/>
      <c r="I13" s="291"/>
      <c r="J13" s="301">
        <f t="shared" si="1"/>
        <v>0</v>
      </c>
      <c r="K13" s="54">
        <f t="shared" si="2"/>
        <v>0</v>
      </c>
      <c r="L13" s="438"/>
    </row>
    <row r="14" spans="1:21" ht="15" x14ac:dyDescent="0.25">
      <c r="A14" s="326" t="s">
        <v>47</v>
      </c>
      <c r="B14" s="324"/>
      <c r="C14" s="323"/>
      <c r="D14" s="324" t="s">
        <v>440</v>
      </c>
      <c r="E14" s="100">
        <f>Altre!C30</f>
        <v>-684872.64</v>
      </c>
      <c r="F14" s="57">
        <f>'SP-ATTIVO'!F96-F9-F24-F27-F48-F58</f>
        <v>1347142.63</v>
      </c>
      <c r="G14" s="57">
        <f>'SP-ATTIVO'!G96-G9-G24-G27-G48-G58</f>
        <v>1274536.0200000005</v>
      </c>
      <c r="H14" s="57">
        <f>'SP-ATTIVO'!H96-H9-H11-H24-H27-H48-H58</f>
        <v>213869.28999999998</v>
      </c>
      <c r="I14" s="291">
        <f>'SP-ATTIVO'!I96-I24-I27-I48-I58</f>
        <v>400668.56999999995</v>
      </c>
      <c r="J14" s="301">
        <f t="shared" si="1"/>
        <v>-799065.31000000052</v>
      </c>
      <c r="K14" s="54">
        <f t="shared" si="2"/>
        <v>-684872.64</v>
      </c>
      <c r="L14" s="438"/>
    </row>
    <row r="15" spans="1:21" ht="15" x14ac:dyDescent="0.25">
      <c r="A15" s="326" t="s">
        <v>439</v>
      </c>
      <c r="B15" s="324"/>
      <c r="C15" s="323"/>
      <c r="D15" s="324" t="s">
        <v>441</v>
      </c>
      <c r="E15" s="100">
        <f>Altre!C31</f>
        <v>-557096.37</v>
      </c>
      <c r="F15" s="57"/>
      <c r="G15" s="57"/>
      <c r="H15" s="57"/>
      <c r="I15" s="291">
        <f>Altre!D165</f>
        <v>75935.439999999478</v>
      </c>
      <c r="J15" s="301">
        <f t="shared" si="1"/>
        <v>-633031.80999999947</v>
      </c>
      <c r="K15" s="54">
        <f t="shared" si="2"/>
        <v>-557096.37</v>
      </c>
      <c r="L15" s="482"/>
      <c r="M15" s="482"/>
      <c r="N15" s="482"/>
      <c r="O15" s="482"/>
      <c r="P15" s="482"/>
      <c r="Q15" s="482"/>
      <c r="R15" s="482"/>
      <c r="S15" s="482"/>
      <c r="T15" s="482"/>
      <c r="U15" s="482"/>
    </row>
    <row r="16" spans="1:21" ht="15.75" thickBot="1" x14ac:dyDescent="0.3">
      <c r="A16" s="37"/>
      <c r="B16" s="10"/>
      <c r="C16" s="11"/>
      <c r="D16" s="14"/>
      <c r="E16" s="99"/>
      <c r="F16" s="59"/>
      <c r="G16" s="59"/>
      <c r="H16" s="59"/>
      <c r="I16" s="290"/>
      <c r="J16" s="300"/>
      <c r="K16" s="53"/>
    </row>
    <row r="17" spans="1:13" ht="15.75" thickBot="1" x14ac:dyDescent="0.3">
      <c r="A17" s="37"/>
      <c r="B17" s="10"/>
      <c r="C17" s="11"/>
      <c r="D17" s="17" t="s">
        <v>107</v>
      </c>
      <c r="E17" s="61">
        <f>'SP-ATTIVO'!E96-'SP- PASSIVO'!E24-'SP- PASSIVO'!E27-'SP- PASSIVO'!E48-'SP- PASSIVO'!E58</f>
        <v>5415025.5800000001</v>
      </c>
      <c r="F17" s="52">
        <f>'SP-ATTIVO'!F96-'SP- PASSIVO'!F24-'SP- PASSIVO'!F27-'SP- PASSIVO'!F48-'SP- PASSIVO'!F58</f>
        <v>1373991.13</v>
      </c>
      <c r="G17" s="52">
        <f>'SP-ATTIVO'!G96-'SP- PASSIVO'!G24-'SP- PASSIVO'!G27-'SP- PASSIVO'!G48-'SP- PASSIVO'!G58</f>
        <v>1274536.0200000005</v>
      </c>
      <c r="H17" s="52">
        <f>'SP-ATTIVO'!H96-'SP- PASSIVO'!H24-'SP- PASSIVO'!H27-'SP- PASSIVO'!H48-'SP- PASSIVO'!H58</f>
        <v>226552.02</v>
      </c>
      <c r="I17" s="177">
        <f>'SP-ATTIVO'!I96-'SP- PASSIVO'!I24-'SP- PASSIVO'!I27-'SP- PASSIVO'!I48-'SP- PASSIVO'!I58</f>
        <v>400668.56999999995</v>
      </c>
      <c r="J17" s="299">
        <f>'SP-ATTIVO'!J96-'SP- PASSIVO'!J24-'SP- PASSIVO'!J27-'SP- PASSIVO'!J48-'SP- PASSIVO'!J58</f>
        <v>5340364.1399999987</v>
      </c>
      <c r="K17" s="232">
        <f>'SP-ATTIVO'!K96-'SP- PASSIVO'!K24-'SP- PASSIVO'!K27-'SP- PASSIVO'!K48-'SP- PASSIVO'!K58</f>
        <v>5415025.5800000001</v>
      </c>
      <c r="L17" s="266"/>
      <c r="M17" s="267"/>
    </row>
    <row r="18" spans="1:13" ht="15" x14ac:dyDescent="0.25">
      <c r="A18" s="37"/>
      <c r="B18" s="10"/>
      <c r="C18" s="11"/>
      <c r="D18" s="10"/>
      <c r="E18" s="99"/>
      <c r="F18" s="59"/>
      <c r="G18" s="59"/>
      <c r="H18" s="59"/>
      <c r="I18" s="290"/>
      <c r="J18" s="300"/>
      <c r="K18" s="53"/>
    </row>
    <row r="19" spans="1:13" ht="15" x14ac:dyDescent="0.25">
      <c r="A19" s="37"/>
      <c r="B19" s="10"/>
      <c r="C19" s="11"/>
      <c r="D19" s="14" t="s">
        <v>108</v>
      </c>
      <c r="E19" s="99"/>
      <c r="F19" s="59"/>
      <c r="G19" s="59"/>
      <c r="H19" s="59"/>
      <c r="I19" s="290"/>
      <c r="J19" s="300"/>
      <c r="K19" s="53"/>
    </row>
    <row r="20" spans="1:13" ht="15" x14ac:dyDescent="0.25">
      <c r="A20" s="37"/>
      <c r="B20" s="10">
        <v>1</v>
      </c>
      <c r="C20" s="11"/>
      <c r="D20" s="10" t="s">
        <v>109</v>
      </c>
      <c r="E20" s="100">
        <f>Altre!C83</f>
        <v>0</v>
      </c>
      <c r="F20" s="57">
        <v>0</v>
      </c>
      <c r="G20" s="57">
        <v>0</v>
      </c>
      <c r="H20" s="57">
        <f>Altre!D83</f>
        <v>0</v>
      </c>
      <c r="I20" s="291">
        <v>0</v>
      </c>
      <c r="J20" s="301">
        <f t="shared" ref="J20:J22" si="3">E20+F20-G20+H20-I20</f>
        <v>0</v>
      </c>
      <c r="K20" s="54">
        <f>E20</f>
        <v>0</v>
      </c>
    </row>
    <row r="21" spans="1:13" ht="15" x14ac:dyDescent="0.25">
      <c r="A21" s="37"/>
      <c r="B21" s="10">
        <v>2</v>
      </c>
      <c r="C21" s="11"/>
      <c r="D21" s="10" t="s">
        <v>110</v>
      </c>
      <c r="E21" s="100">
        <f>Altre!C84</f>
        <v>0</v>
      </c>
      <c r="F21" s="57">
        <v>0</v>
      </c>
      <c r="G21" s="57">
        <v>0</v>
      </c>
      <c r="H21" s="57">
        <f>Altre!D84</f>
        <v>0</v>
      </c>
      <c r="I21" s="291">
        <v>0</v>
      </c>
      <c r="J21" s="301">
        <f t="shared" si="3"/>
        <v>0</v>
      </c>
      <c r="K21" s="54">
        <f>E21</f>
        <v>0</v>
      </c>
    </row>
    <row r="22" spans="1:13" ht="15" x14ac:dyDescent="0.25">
      <c r="A22" s="37"/>
      <c r="B22" s="10">
        <v>3</v>
      </c>
      <c r="C22" s="11"/>
      <c r="D22" s="10" t="s">
        <v>111</v>
      </c>
      <c r="E22" s="100">
        <f>Altre!C79+Altre!C81+Altre!C85+SUM(Altre!C88:C89)</f>
        <v>12000</v>
      </c>
      <c r="F22" s="57">
        <v>0</v>
      </c>
      <c r="G22" s="57">
        <v>0</v>
      </c>
      <c r="H22" s="57">
        <f>Altre!D79+Altre!D81+Altre!D85+SUM(Altre!D88:D89)</f>
        <v>-12000</v>
      </c>
      <c r="I22" s="291">
        <v>0</v>
      </c>
      <c r="J22" s="301">
        <f t="shared" si="3"/>
        <v>0</v>
      </c>
      <c r="K22" s="54">
        <f>E22</f>
        <v>12000</v>
      </c>
    </row>
    <row r="23" spans="1:13" ht="15.75" thickBot="1" x14ac:dyDescent="0.3">
      <c r="A23" s="37"/>
      <c r="B23" s="10"/>
      <c r="C23" s="11"/>
      <c r="D23" s="14"/>
      <c r="E23" s="99"/>
      <c r="F23" s="59"/>
      <c r="G23" s="59"/>
      <c r="H23" s="59"/>
      <c r="I23" s="290"/>
      <c r="J23" s="300"/>
      <c r="K23" s="53"/>
    </row>
    <row r="24" spans="1:13" ht="15.75" thickBot="1" x14ac:dyDescent="0.3">
      <c r="A24" s="37"/>
      <c r="B24" s="10"/>
      <c r="C24" s="11"/>
      <c r="D24" s="17" t="s">
        <v>112</v>
      </c>
      <c r="E24" s="61">
        <f t="shared" ref="E24:J24" si="4">SUM(E20:E23)</f>
        <v>12000</v>
      </c>
      <c r="F24" s="52">
        <f t="shared" si="4"/>
        <v>0</v>
      </c>
      <c r="G24" s="52">
        <f t="shared" si="4"/>
        <v>0</v>
      </c>
      <c r="H24" s="52">
        <f t="shared" si="4"/>
        <v>-12000</v>
      </c>
      <c r="I24" s="177">
        <f t="shared" si="4"/>
        <v>0</v>
      </c>
      <c r="J24" s="299">
        <f t="shared" si="4"/>
        <v>0</v>
      </c>
      <c r="K24" s="232">
        <f t="shared" ref="K24" si="5">SUM(K20:K23)</f>
        <v>12000</v>
      </c>
    </row>
    <row r="25" spans="1:13" ht="15" x14ac:dyDescent="0.25">
      <c r="A25" s="37"/>
      <c r="B25" s="10"/>
      <c r="C25" s="11"/>
      <c r="D25" s="17"/>
      <c r="E25" s="99"/>
      <c r="F25" s="59"/>
      <c r="G25" s="59"/>
      <c r="H25" s="59"/>
      <c r="I25" s="290"/>
      <c r="J25" s="300"/>
      <c r="K25" s="53"/>
    </row>
    <row r="26" spans="1:13" ht="15.75" thickBot="1" x14ac:dyDescent="0.3">
      <c r="A26" s="37"/>
      <c r="B26" s="10"/>
      <c r="C26" s="11"/>
      <c r="D26" s="38" t="s">
        <v>113</v>
      </c>
      <c r="E26" s="100">
        <v>0</v>
      </c>
      <c r="F26" s="57">
        <v>0</v>
      </c>
      <c r="G26" s="57">
        <v>0</v>
      </c>
      <c r="H26" s="57">
        <v>0</v>
      </c>
      <c r="I26" s="291">
        <v>0</v>
      </c>
      <c r="J26" s="301">
        <f t="shared" ref="J26" si="6">E26+F26-G26+H26-I26</f>
        <v>0</v>
      </c>
      <c r="K26" s="54">
        <f>E26</f>
        <v>0</v>
      </c>
    </row>
    <row r="27" spans="1:13" ht="15.75" thickBot="1" x14ac:dyDescent="0.3">
      <c r="A27" s="37"/>
      <c r="B27" s="10"/>
      <c r="C27" s="11"/>
      <c r="D27" s="17" t="s">
        <v>114</v>
      </c>
      <c r="E27" s="61">
        <f>E26</f>
        <v>0</v>
      </c>
      <c r="F27" s="52">
        <f>F26</f>
        <v>0</v>
      </c>
      <c r="G27" s="52">
        <f t="shared" ref="G27:I27" si="7">G26</f>
        <v>0</v>
      </c>
      <c r="H27" s="52">
        <f t="shared" si="7"/>
        <v>0</v>
      </c>
      <c r="I27" s="177">
        <f t="shared" si="7"/>
        <v>0</v>
      </c>
      <c r="J27" s="299">
        <f>J26</f>
        <v>0</v>
      </c>
      <c r="K27" s="232">
        <f>K26</f>
        <v>0</v>
      </c>
    </row>
    <row r="28" spans="1:13" ht="15" x14ac:dyDescent="0.25">
      <c r="A28" s="37"/>
      <c r="B28" s="10"/>
      <c r="C28" s="11"/>
      <c r="D28" s="17"/>
      <c r="E28" s="99"/>
      <c r="F28" s="59"/>
      <c r="G28" s="59"/>
      <c r="H28" s="59"/>
      <c r="I28" s="290"/>
      <c r="J28" s="300"/>
      <c r="K28" s="53"/>
    </row>
    <row r="29" spans="1:13" ht="15" x14ac:dyDescent="0.25">
      <c r="A29" s="37"/>
      <c r="B29" s="10"/>
      <c r="C29" s="11"/>
      <c r="D29" s="39" t="s">
        <v>115</v>
      </c>
      <c r="E29" s="99"/>
      <c r="F29" s="59"/>
      <c r="G29" s="59"/>
      <c r="H29" s="59"/>
      <c r="I29" s="290"/>
      <c r="J29" s="300"/>
      <c r="K29" s="53"/>
    </row>
    <row r="30" spans="1:13" ht="15" x14ac:dyDescent="0.25">
      <c r="A30" s="37"/>
      <c r="B30" s="10">
        <v>1</v>
      </c>
      <c r="C30" s="11"/>
      <c r="D30" s="10" t="s">
        <v>116</v>
      </c>
      <c r="E30" s="101">
        <f>E31+E32+E33+E34</f>
        <v>635511.93999999994</v>
      </c>
      <c r="F30" s="56">
        <f>F31+F32+F33+F34</f>
        <v>21510</v>
      </c>
      <c r="G30" s="56">
        <f t="shared" ref="G30:I30" si="8">G31+G32+G33+G34</f>
        <v>79523.28</v>
      </c>
      <c r="H30" s="56">
        <f t="shared" si="8"/>
        <v>0</v>
      </c>
      <c r="I30" s="293">
        <f t="shared" si="8"/>
        <v>0</v>
      </c>
      <c r="J30" s="303">
        <f>J31+J32+J33+J34</f>
        <v>577498.65999999992</v>
      </c>
      <c r="K30" s="231">
        <f>K31+K32+K33+K34</f>
        <v>635511.93999999994</v>
      </c>
    </row>
    <row r="31" spans="1:13" ht="15" x14ac:dyDescent="0.25">
      <c r="A31" s="37"/>
      <c r="B31" s="10"/>
      <c r="C31" s="11" t="s">
        <v>117</v>
      </c>
      <c r="D31" s="26" t="s">
        <v>118</v>
      </c>
      <c r="E31" s="100">
        <f>Passivo!K5+Altre!C50</f>
        <v>0</v>
      </c>
      <c r="F31" s="57">
        <f>Passivo!L5+Altre!D50</f>
        <v>0</v>
      </c>
      <c r="G31" s="57">
        <f>Passivo!M5</f>
        <v>0</v>
      </c>
      <c r="H31" s="57">
        <f>Passivo!N5</f>
        <v>0</v>
      </c>
      <c r="I31" s="291">
        <f>Passivo!O5</f>
        <v>0</v>
      </c>
      <c r="J31" s="301">
        <f t="shared" ref="J31:J47" si="9">E31+F31-G31+H31-I31</f>
        <v>0</v>
      </c>
      <c r="K31" s="54">
        <f t="shared" ref="K31:K36" si="10">E31</f>
        <v>0</v>
      </c>
    </row>
    <row r="32" spans="1:13" ht="15" x14ac:dyDescent="0.25">
      <c r="A32" s="37"/>
      <c r="B32" s="10"/>
      <c r="C32" s="11" t="s">
        <v>51</v>
      </c>
      <c r="D32" s="26" t="s">
        <v>119</v>
      </c>
      <c r="E32" s="100">
        <f>Passivo!K9+Altre!C51</f>
        <v>0</v>
      </c>
      <c r="F32" s="57">
        <f>Passivo!L9+Altre!D51</f>
        <v>0</v>
      </c>
      <c r="G32" s="57">
        <f>Passivo!M9</f>
        <v>0</v>
      </c>
      <c r="H32" s="57">
        <f>Passivo!N9</f>
        <v>0</v>
      </c>
      <c r="I32" s="291">
        <f>Passivo!O9</f>
        <v>0</v>
      </c>
      <c r="J32" s="301">
        <f t="shared" si="9"/>
        <v>0</v>
      </c>
      <c r="K32" s="54">
        <f t="shared" si="10"/>
        <v>0</v>
      </c>
    </row>
    <row r="33" spans="1:11" ht="15" x14ac:dyDescent="0.25">
      <c r="A33" s="37"/>
      <c r="B33" s="10"/>
      <c r="C33" s="11" t="s">
        <v>53</v>
      </c>
      <c r="D33" s="26" t="s">
        <v>120</v>
      </c>
      <c r="E33" s="100">
        <f>Passivo!K13+Altre!C53</f>
        <v>0</v>
      </c>
      <c r="F33" s="57">
        <f>Passivo!L13+Altre!D53</f>
        <v>0</v>
      </c>
      <c r="G33" s="57">
        <f>Passivo!M13</f>
        <v>0</v>
      </c>
      <c r="H33" s="57">
        <f>Passivo!N13</f>
        <v>0</v>
      </c>
      <c r="I33" s="291">
        <f>Passivo!O13</f>
        <v>0</v>
      </c>
      <c r="J33" s="301">
        <f t="shared" si="9"/>
        <v>0</v>
      </c>
      <c r="K33" s="54">
        <f t="shared" si="10"/>
        <v>0</v>
      </c>
    </row>
    <row r="34" spans="1:11" ht="15" x14ac:dyDescent="0.25">
      <c r="A34" s="37"/>
      <c r="B34" s="40"/>
      <c r="C34" s="11" t="s">
        <v>58</v>
      </c>
      <c r="D34" s="26" t="s">
        <v>121</v>
      </c>
      <c r="E34" s="100">
        <f>Passivo!K19-Passivo!K20+Altre!C52</f>
        <v>635511.93999999994</v>
      </c>
      <c r="F34" s="57">
        <f>Passivo!L19-Passivo!L21+Altre!D52</f>
        <v>21510</v>
      </c>
      <c r="G34" s="57">
        <f>Passivo!M19</f>
        <v>79523.28</v>
      </c>
      <c r="H34" s="57">
        <f>Passivo!N19</f>
        <v>0</v>
      </c>
      <c r="I34" s="291">
        <f>Passivo!O19</f>
        <v>0</v>
      </c>
      <c r="J34" s="301">
        <f t="shared" si="9"/>
        <v>577498.65999999992</v>
      </c>
      <c r="K34" s="54">
        <f t="shared" si="10"/>
        <v>635511.93999999994</v>
      </c>
    </row>
    <row r="35" spans="1:11" ht="15" x14ac:dyDescent="0.25">
      <c r="A35" s="37"/>
      <c r="B35" s="10">
        <v>2</v>
      </c>
      <c r="C35" s="11"/>
      <c r="D35" s="10" t="s">
        <v>122</v>
      </c>
      <c r="E35" s="100">
        <f>Passivo!K83</f>
        <v>707203.91</v>
      </c>
      <c r="F35" s="57">
        <f>Passivo!L83</f>
        <v>488497.28</v>
      </c>
      <c r="G35" s="57">
        <f>Passivo!M83</f>
        <v>662367.41999999993</v>
      </c>
      <c r="H35" s="57">
        <f>Passivo!N83</f>
        <v>0</v>
      </c>
      <c r="I35" s="291">
        <f>Passivo!O83</f>
        <v>542.95000000000005</v>
      </c>
      <c r="J35" s="301">
        <f t="shared" si="9"/>
        <v>532790.82000000007</v>
      </c>
      <c r="K35" s="54">
        <f t="shared" si="10"/>
        <v>707203.91</v>
      </c>
    </row>
    <row r="36" spans="1:11" ht="15" x14ac:dyDescent="0.25">
      <c r="A36" s="37"/>
      <c r="B36" s="10">
        <v>3</v>
      </c>
      <c r="C36" s="11"/>
      <c r="D36" s="10" t="s">
        <v>123</v>
      </c>
      <c r="E36" s="100">
        <f>Passivo!K87</f>
        <v>0</v>
      </c>
      <c r="F36" s="57">
        <f>Passivo!L87</f>
        <v>0</v>
      </c>
      <c r="G36" s="57">
        <f>Passivo!M87</f>
        <v>0</v>
      </c>
      <c r="H36" s="57">
        <f>Passivo!N87</f>
        <v>0</v>
      </c>
      <c r="I36" s="291">
        <f>Passivo!O87</f>
        <v>0</v>
      </c>
      <c r="J36" s="301">
        <f t="shared" si="9"/>
        <v>0</v>
      </c>
      <c r="K36" s="54">
        <f t="shared" si="10"/>
        <v>0</v>
      </c>
    </row>
    <row r="37" spans="1:11" ht="15" x14ac:dyDescent="0.25">
      <c r="A37" s="37"/>
      <c r="B37" s="10">
        <v>4</v>
      </c>
      <c r="C37" s="41"/>
      <c r="D37" s="16" t="s">
        <v>124</v>
      </c>
      <c r="E37" s="101">
        <f>E38+E39+E40+E41+E42</f>
        <v>122591.12999999999</v>
      </c>
      <c r="F37" s="56">
        <f>F38+F39+F40+F41+F42</f>
        <v>151622.76999999999</v>
      </c>
      <c r="G37" s="56">
        <f t="shared" ref="G37:I37" si="11">G38+G39+G40+G41+G42</f>
        <v>146150.69</v>
      </c>
      <c r="H37" s="56">
        <f t="shared" si="11"/>
        <v>0</v>
      </c>
      <c r="I37" s="293">
        <f t="shared" si="11"/>
        <v>9612.52</v>
      </c>
      <c r="J37" s="303">
        <f>J38+J39+J40+J41+J42</f>
        <v>118450.68999999999</v>
      </c>
      <c r="K37" s="231">
        <f>K38+K39+K40+K41+K42</f>
        <v>122591.12999999999</v>
      </c>
    </row>
    <row r="38" spans="1:11" ht="15" x14ac:dyDescent="0.25">
      <c r="A38" s="37"/>
      <c r="B38" s="40"/>
      <c r="C38" s="11" t="s">
        <v>30</v>
      </c>
      <c r="D38" s="23" t="s">
        <v>125</v>
      </c>
      <c r="E38" s="100">
        <f>Passivo!K91</f>
        <v>0</v>
      </c>
      <c r="F38" s="57">
        <f>Passivo!L91</f>
        <v>0</v>
      </c>
      <c r="G38" s="57">
        <f>Passivo!M91</f>
        <v>0</v>
      </c>
      <c r="H38" s="57">
        <f>Passivo!N91</f>
        <v>0</v>
      </c>
      <c r="I38" s="291">
        <f>Passivo!O91</f>
        <v>0</v>
      </c>
      <c r="J38" s="301">
        <f t="shared" si="9"/>
        <v>0</v>
      </c>
      <c r="K38" s="54">
        <f>E38</f>
        <v>0</v>
      </c>
    </row>
    <row r="39" spans="1:11" ht="15" x14ac:dyDescent="0.25">
      <c r="A39" s="37"/>
      <c r="B39" s="40"/>
      <c r="C39" s="11" t="s">
        <v>51</v>
      </c>
      <c r="D39" s="23" t="s">
        <v>56</v>
      </c>
      <c r="E39" s="100">
        <f>Passivo!K119</f>
        <v>109969.12</v>
      </c>
      <c r="F39" s="57">
        <f>Passivo!L119</f>
        <v>134695.43</v>
      </c>
      <c r="G39" s="57">
        <f>Passivo!M119</f>
        <v>120457.06</v>
      </c>
      <c r="H39" s="57">
        <f>Passivo!N119</f>
        <v>0</v>
      </c>
      <c r="I39" s="291">
        <f>Passivo!O119</f>
        <v>9612.52</v>
      </c>
      <c r="J39" s="301">
        <f t="shared" si="9"/>
        <v>114594.96999999999</v>
      </c>
      <c r="K39" s="54">
        <f>E39</f>
        <v>109969.12</v>
      </c>
    </row>
    <row r="40" spans="1:11" ht="15" x14ac:dyDescent="0.25">
      <c r="A40" s="37"/>
      <c r="B40" s="10"/>
      <c r="C40" s="11" t="s">
        <v>53</v>
      </c>
      <c r="D40" s="26" t="s">
        <v>50</v>
      </c>
      <c r="E40" s="100">
        <f>Passivo!K123</f>
        <v>0</v>
      </c>
      <c r="F40" s="57">
        <f>Passivo!L123</f>
        <v>0</v>
      </c>
      <c r="G40" s="57">
        <f>Passivo!M123</f>
        <v>0</v>
      </c>
      <c r="H40" s="57">
        <f>Passivo!N123</f>
        <v>0</v>
      </c>
      <c r="I40" s="291">
        <f>Passivo!O123</f>
        <v>0</v>
      </c>
      <c r="J40" s="301">
        <f t="shared" si="9"/>
        <v>0</v>
      </c>
      <c r="K40" s="54">
        <f>E40</f>
        <v>0</v>
      </c>
    </row>
    <row r="41" spans="1:11" ht="15" x14ac:dyDescent="0.25">
      <c r="A41" s="37"/>
      <c r="B41" s="10"/>
      <c r="C41" s="11" t="s">
        <v>58</v>
      </c>
      <c r="D41" s="26" t="s">
        <v>52</v>
      </c>
      <c r="E41" s="100">
        <f>Passivo!K127</f>
        <v>0</v>
      </c>
      <c r="F41" s="57">
        <f>Passivo!L127</f>
        <v>0</v>
      </c>
      <c r="G41" s="57">
        <f>Passivo!M127</f>
        <v>0</v>
      </c>
      <c r="H41" s="57">
        <f>Passivo!N127</f>
        <v>0</v>
      </c>
      <c r="I41" s="291">
        <f>Passivo!O127</f>
        <v>0</v>
      </c>
      <c r="J41" s="301">
        <f t="shared" si="9"/>
        <v>0</v>
      </c>
      <c r="K41" s="54">
        <f>E41</f>
        <v>0</v>
      </c>
    </row>
    <row r="42" spans="1:11" ht="15" x14ac:dyDescent="0.25">
      <c r="A42" s="37"/>
      <c r="B42" s="10"/>
      <c r="C42" s="11" t="s">
        <v>104</v>
      </c>
      <c r="D42" s="26" t="s">
        <v>54</v>
      </c>
      <c r="E42" s="100">
        <f>Passivo!K139</f>
        <v>12622.01</v>
      </c>
      <c r="F42" s="57">
        <f>Passivo!L139</f>
        <v>16927.34</v>
      </c>
      <c r="G42" s="57">
        <f>Passivo!M139</f>
        <v>25693.629999999997</v>
      </c>
      <c r="H42" s="57">
        <f>Passivo!N139</f>
        <v>0</v>
      </c>
      <c r="I42" s="291">
        <f>Passivo!O139</f>
        <v>0</v>
      </c>
      <c r="J42" s="301">
        <f t="shared" si="9"/>
        <v>3855.7200000000012</v>
      </c>
      <c r="K42" s="54">
        <f>E42</f>
        <v>12622.01</v>
      </c>
    </row>
    <row r="43" spans="1:11" ht="15" x14ac:dyDescent="0.25">
      <c r="A43" s="37"/>
      <c r="B43" s="10">
        <v>5</v>
      </c>
      <c r="C43" s="11"/>
      <c r="D43" s="10" t="s">
        <v>126</v>
      </c>
      <c r="E43" s="101">
        <f>E44+E45+E46+E47</f>
        <v>28154.44</v>
      </c>
      <c r="F43" s="56">
        <f>F44+F45+F46+F47</f>
        <v>334274.66000000003</v>
      </c>
      <c r="G43" s="56">
        <f t="shared" ref="G43:I43" si="12">G44+G45+G46+G47</f>
        <v>325588.38</v>
      </c>
      <c r="H43" s="56">
        <f t="shared" si="12"/>
        <v>0</v>
      </c>
      <c r="I43" s="293">
        <f t="shared" si="12"/>
        <v>2264.6200000000003</v>
      </c>
      <c r="J43" s="303">
        <f>J44+J45+J46+J47</f>
        <v>34576.1</v>
      </c>
      <c r="K43" s="231">
        <f>K44+K45+K46+K47</f>
        <v>28154.44</v>
      </c>
    </row>
    <row r="44" spans="1:11" ht="15" x14ac:dyDescent="0.25">
      <c r="A44" s="37"/>
      <c r="B44" s="10"/>
      <c r="C44" s="11" t="s">
        <v>30</v>
      </c>
      <c r="D44" s="26" t="s">
        <v>127</v>
      </c>
      <c r="E44" s="100">
        <f>Passivo!K151+Altre!C131</f>
        <v>1984.04</v>
      </c>
      <c r="F44" s="57">
        <f>Passivo!L151</f>
        <v>37468.080000000002</v>
      </c>
      <c r="G44" s="57">
        <f>Passivo!M151</f>
        <v>38977.24</v>
      </c>
      <c r="H44" s="57">
        <f>Passivo!N151</f>
        <v>0</v>
      </c>
      <c r="I44" s="291">
        <f>Passivo!O151</f>
        <v>287.04000000000002</v>
      </c>
      <c r="J44" s="301">
        <f t="shared" si="9"/>
        <v>187.84000000000464</v>
      </c>
      <c r="K44" s="54">
        <f>E44</f>
        <v>1984.04</v>
      </c>
    </row>
    <row r="45" spans="1:11" ht="15" x14ac:dyDescent="0.25">
      <c r="A45" s="37"/>
      <c r="B45" s="10"/>
      <c r="C45" s="11" t="s">
        <v>51</v>
      </c>
      <c r="D45" s="26" t="s">
        <v>128</v>
      </c>
      <c r="E45" s="100">
        <f>Passivo!K160</f>
        <v>0</v>
      </c>
      <c r="F45" s="57">
        <f>Passivo!L160</f>
        <v>34841.94</v>
      </c>
      <c r="G45" s="57">
        <f>Passivo!M160</f>
        <v>34841.94</v>
      </c>
      <c r="H45" s="57">
        <f>Passivo!N160</f>
        <v>0</v>
      </c>
      <c r="I45" s="291">
        <f>Passivo!O160</f>
        <v>0</v>
      </c>
      <c r="J45" s="301">
        <f t="shared" si="9"/>
        <v>0</v>
      </c>
      <c r="K45" s="54">
        <f>E45</f>
        <v>0</v>
      </c>
    </row>
    <row r="46" spans="1:11" ht="15" x14ac:dyDescent="0.25">
      <c r="A46" s="37"/>
      <c r="B46" s="10"/>
      <c r="C46" s="11" t="s">
        <v>53</v>
      </c>
      <c r="D46" s="26" t="s">
        <v>129</v>
      </c>
      <c r="E46" s="100">
        <f>Passivo!K164</f>
        <v>0</v>
      </c>
      <c r="F46" s="57">
        <f>Passivo!L164</f>
        <v>0</v>
      </c>
      <c r="G46" s="57">
        <f>Passivo!M164</f>
        <v>0</v>
      </c>
      <c r="H46" s="57">
        <f>Passivo!N164</f>
        <v>0</v>
      </c>
      <c r="I46" s="291">
        <f>Passivo!O164</f>
        <v>0</v>
      </c>
      <c r="J46" s="301">
        <f t="shared" si="9"/>
        <v>0</v>
      </c>
      <c r="K46" s="54">
        <f>E46</f>
        <v>0</v>
      </c>
    </row>
    <row r="47" spans="1:11" ht="15.75" thickBot="1" x14ac:dyDescent="0.3">
      <c r="A47" s="37"/>
      <c r="B47" s="10"/>
      <c r="C47" s="11" t="s">
        <v>58</v>
      </c>
      <c r="D47" s="26" t="s">
        <v>78</v>
      </c>
      <c r="E47" s="100">
        <f>Passivo!K193</f>
        <v>26170.399999999998</v>
      </c>
      <c r="F47" s="57">
        <f>Passivo!L193</f>
        <v>261964.64000000004</v>
      </c>
      <c r="G47" s="57">
        <f>Passivo!M193</f>
        <v>251769.20000000004</v>
      </c>
      <c r="H47" s="57">
        <f>Passivo!N193</f>
        <v>0</v>
      </c>
      <c r="I47" s="291">
        <f>Passivo!O193</f>
        <v>1977.5800000000002</v>
      </c>
      <c r="J47" s="301">
        <f t="shared" si="9"/>
        <v>34388.259999999995</v>
      </c>
      <c r="K47" s="54">
        <f>E47</f>
        <v>26170.399999999998</v>
      </c>
    </row>
    <row r="48" spans="1:11" ht="15.75" thickBot="1" x14ac:dyDescent="0.3">
      <c r="A48" s="42"/>
      <c r="B48" s="43"/>
      <c r="C48" s="44"/>
      <c r="D48" s="45" t="s">
        <v>130</v>
      </c>
      <c r="E48" s="61">
        <f>E30+E35+E36+E37+E43</f>
        <v>1493461.42</v>
      </c>
      <c r="F48" s="52">
        <f>F30+F35+F36+F37+F43</f>
        <v>995904.71000000008</v>
      </c>
      <c r="G48" s="52">
        <f t="shared" ref="G48:I48" si="13">G30+G35+G36+G37+G43</f>
        <v>1213629.77</v>
      </c>
      <c r="H48" s="52">
        <f t="shared" si="13"/>
        <v>0</v>
      </c>
      <c r="I48" s="177">
        <f t="shared" si="13"/>
        <v>12420.090000000002</v>
      </c>
      <c r="J48" s="299">
        <f>J30+J35+J36+J37+J43</f>
        <v>1263316.27</v>
      </c>
      <c r="K48" s="232">
        <f>K30+K35+K36+K37+K43</f>
        <v>1493461.42</v>
      </c>
    </row>
    <row r="49" spans="1:11" ht="15" x14ac:dyDescent="0.25">
      <c r="A49" s="37"/>
      <c r="B49" s="10"/>
      <c r="C49" s="11"/>
      <c r="D49" s="10"/>
      <c r="E49" s="99"/>
      <c r="F49" s="59"/>
      <c r="G49" s="59"/>
      <c r="H49" s="59"/>
      <c r="I49" s="290"/>
      <c r="J49" s="300"/>
      <c r="K49" s="53"/>
    </row>
    <row r="50" spans="1:11" ht="15" x14ac:dyDescent="0.25">
      <c r="A50" s="37"/>
      <c r="B50" s="10"/>
      <c r="C50" s="11"/>
      <c r="D50" s="39" t="s">
        <v>131</v>
      </c>
      <c r="E50" s="99"/>
      <c r="F50" s="59"/>
      <c r="G50" s="59"/>
      <c r="H50" s="59"/>
      <c r="I50" s="290"/>
      <c r="J50" s="300"/>
      <c r="K50" s="53"/>
    </row>
    <row r="51" spans="1:11" ht="15" x14ac:dyDescent="0.25">
      <c r="A51" s="37" t="s">
        <v>4</v>
      </c>
      <c r="B51" s="10"/>
      <c r="C51" s="11"/>
      <c r="D51" s="10" t="s">
        <v>132</v>
      </c>
      <c r="E51" s="100">
        <f>Altre!C126</f>
        <v>6563</v>
      </c>
      <c r="F51" s="57">
        <v>0</v>
      </c>
      <c r="G51" s="57">
        <v>0</v>
      </c>
      <c r="H51" s="57">
        <f>Altre!D126</f>
        <v>6066</v>
      </c>
      <c r="I51" s="291">
        <f>Altre!C126</f>
        <v>6563</v>
      </c>
      <c r="J51" s="301">
        <f t="shared" ref="J51" si="14">E51+F51-G51+H51-I51</f>
        <v>6066</v>
      </c>
      <c r="K51" s="54">
        <f>E51</f>
        <v>6563</v>
      </c>
    </row>
    <row r="52" spans="1:11" ht="15" x14ac:dyDescent="0.25">
      <c r="A52" s="37" t="s">
        <v>15</v>
      </c>
      <c r="B52" s="10"/>
      <c r="C52" s="11"/>
      <c r="D52" s="10" t="s">
        <v>133</v>
      </c>
      <c r="E52" s="101">
        <f>E53+E56+E57</f>
        <v>2073948.9</v>
      </c>
      <c r="F52" s="56">
        <f>F53+F56+F57</f>
        <v>238000</v>
      </c>
      <c r="G52" s="56">
        <f t="shared" ref="G52:I52" si="15">G53+G56+G57</f>
        <v>2363.67</v>
      </c>
      <c r="H52" s="56">
        <f t="shared" si="15"/>
        <v>0</v>
      </c>
      <c r="I52" s="293">
        <f t="shared" si="15"/>
        <v>67712.820000000007</v>
      </c>
      <c r="J52" s="303">
        <f>J53+J56+J57</f>
        <v>2241872.41</v>
      </c>
      <c r="K52" s="231">
        <f>K53+K56+K57</f>
        <v>2073948.9</v>
      </c>
    </row>
    <row r="53" spans="1:11" ht="15" x14ac:dyDescent="0.25">
      <c r="A53" s="37"/>
      <c r="B53" s="10">
        <v>1</v>
      </c>
      <c r="C53" s="11"/>
      <c r="D53" s="10" t="s">
        <v>134</v>
      </c>
      <c r="E53" s="101">
        <f>E54+E55</f>
        <v>2073948.9</v>
      </c>
      <c r="F53" s="56">
        <f>F54+F55</f>
        <v>238000</v>
      </c>
      <c r="G53" s="56">
        <f t="shared" ref="G53:I53" si="16">G54+G55</f>
        <v>2363.67</v>
      </c>
      <c r="H53" s="56">
        <f t="shared" si="16"/>
        <v>0</v>
      </c>
      <c r="I53" s="293">
        <f t="shared" si="16"/>
        <v>67712.820000000007</v>
      </c>
      <c r="J53" s="303">
        <f>J54+J55</f>
        <v>2241872.41</v>
      </c>
      <c r="K53" s="231">
        <f>K54+K55</f>
        <v>2073948.9</v>
      </c>
    </row>
    <row r="54" spans="1:11" ht="15" x14ac:dyDescent="0.25">
      <c r="A54" s="37"/>
      <c r="B54" s="10"/>
      <c r="C54" s="11" t="s">
        <v>30</v>
      </c>
      <c r="D54" s="10" t="s">
        <v>135</v>
      </c>
      <c r="E54" s="100">
        <f>Altre!C40</f>
        <v>2073948.9</v>
      </c>
      <c r="F54" s="57">
        <f>Altre!E40</f>
        <v>238000</v>
      </c>
      <c r="G54" s="57">
        <f>Altre!F40+Altre!H42</f>
        <v>2363.67</v>
      </c>
      <c r="H54" s="57">
        <f>Altre!E42</f>
        <v>0</v>
      </c>
      <c r="I54" s="291">
        <f>Altre!H40</f>
        <v>67712.820000000007</v>
      </c>
      <c r="J54" s="301">
        <f t="shared" ref="J54:J57" si="17">E54+F54-G54+H54-I54</f>
        <v>2241872.41</v>
      </c>
      <c r="K54" s="54">
        <f>E54</f>
        <v>2073948.9</v>
      </c>
    </row>
    <row r="55" spans="1:11" ht="15" x14ac:dyDescent="0.25">
      <c r="A55" s="37"/>
      <c r="B55" s="10"/>
      <c r="C55" s="11" t="s">
        <v>51</v>
      </c>
      <c r="D55" s="10" t="s">
        <v>136</v>
      </c>
      <c r="E55" s="100">
        <f>Altre!C41</f>
        <v>0</v>
      </c>
      <c r="F55" s="57">
        <f>Altre!E41</f>
        <v>0</v>
      </c>
      <c r="G55" s="57">
        <f>Altre!F41</f>
        <v>0</v>
      </c>
      <c r="H55" s="57">
        <v>0</v>
      </c>
      <c r="I55" s="291">
        <f>Altre!H41</f>
        <v>0</v>
      </c>
      <c r="J55" s="301">
        <f t="shared" si="17"/>
        <v>0</v>
      </c>
      <c r="K55" s="54">
        <f>E55</f>
        <v>0</v>
      </c>
    </row>
    <row r="56" spans="1:11" ht="15" x14ac:dyDescent="0.25">
      <c r="A56" s="37"/>
      <c r="B56" s="10">
        <v>2</v>
      </c>
      <c r="C56" s="11"/>
      <c r="D56" s="10" t="s">
        <v>137</v>
      </c>
      <c r="E56" s="100">
        <v>0</v>
      </c>
      <c r="F56" s="57">
        <v>0</v>
      </c>
      <c r="G56" s="57">
        <v>0</v>
      </c>
      <c r="H56" s="57">
        <v>0</v>
      </c>
      <c r="I56" s="291">
        <v>0</v>
      </c>
      <c r="J56" s="301">
        <f t="shared" si="17"/>
        <v>0</v>
      </c>
      <c r="K56" s="54">
        <f>E56</f>
        <v>0</v>
      </c>
    </row>
    <row r="57" spans="1:11" ht="15.75" thickBot="1" x14ac:dyDescent="0.3">
      <c r="A57" s="37"/>
      <c r="B57" s="10">
        <v>3</v>
      </c>
      <c r="C57" s="11"/>
      <c r="D57" s="10" t="s">
        <v>138</v>
      </c>
      <c r="E57" s="100">
        <f>Altre!C127</f>
        <v>0</v>
      </c>
      <c r="F57" s="57">
        <v>0</v>
      </c>
      <c r="G57" s="57">
        <v>0</v>
      </c>
      <c r="H57" s="57">
        <f>Altre!D127</f>
        <v>0</v>
      </c>
      <c r="I57" s="291">
        <f>Altre!C127</f>
        <v>0</v>
      </c>
      <c r="J57" s="301">
        <f t="shared" si="17"/>
        <v>0</v>
      </c>
      <c r="K57" s="54">
        <f>E57</f>
        <v>0</v>
      </c>
    </row>
    <row r="58" spans="1:11" ht="15.75" thickBot="1" x14ac:dyDescent="0.3">
      <c r="A58" s="37"/>
      <c r="B58" s="10"/>
      <c r="C58" s="11"/>
      <c r="D58" s="17" t="s">
        <v>139</v>
      </c>
      <c r="E58" s="61">
        <f>E51+E52</f>
        <v>2080511.9</v>
      </c>
      <c r="F58" s="52">
        <f>F51+F52</f>
        <v>238000</v>
      </c>
      <c r="G58" s="52">
        <f t="shared" ref="G58:I58" si="18">G51+G52</f>
        <v>2363.67</v>
      </c>
      <c r="H58" s="52">
        <f t="shared" si="18"/>
        <v>6066</v>
      </c>
      <c r="I58" s="177">
        <f t="shared" si="18"/>
        <v>74275.820000000007</v>
      </c>
      <c r="J58" s="299">
        <f>J51+J52</f>
        <v>2247938.41</v>
      </c>
      <c r="K58" s="232">
        <f>K51+K52</f>
        <v>2080511.9</v>
      </c>
    </row>
    <row r="59" spans="1:11" ht="15.75" thickBot="1" x14ac:dyDescent="0.3">
      <c r="A59" s="37"/>
      <c r="B59" s="10"/>
      <c r="C59" s="11"/>
      <c r="D59" s="10"/>
      <c r="E59" s="99"/>
      <c r="F59" s="59"/>
      <c r="G59" s="59"/>
      <c r="H59" s="59"/>
      <c r="I59" s="290"/>
      <c r="J59" s="309"/>
      <c r="K59" s="53"/>
    </row>
    <row r="60" spans="1:11" ht="15.75" thickBot="1" x14ac:dyDescent="0.3">
      <c r="A60" s="37"/>
      <c r="B60" s="10"/>
      <c r="C60" s="11"/>
      <c r="D60" s="17" t="s">
        <v>140</v>
      </c>
      <c r="E60" s="61">
        <f>+E58+E48+E27+E24+E17</f>
        <v>9000998.9000000004</v>
      </c>
      <c r="F60" s="52">
        <f>+F58+F48+F27+F24+F17</f>
        <v>2607895.84</v>
      </c>
      <c r="G60" s="52">
        <f t="shared" ref="G60:I60" si="19">+G58+G48+G27+G24+G17</f>
        <v>2490529.4600000004</v>
      </c>
      <c r="H60" s="52">
        <f t="shared" si="19"/>
        <v>220618.02</v>
      </c>
      <c r="I60" s="177">
        <f t="shared" si="19"/>
        <v>487364.48</v>
      </c>
      <c r="J60" s="299">
        <f t="shared" ref="J60" si="20">+J58+J48+J27+J24+J17</f>
        <v>8851618.8199999984</v>
      </c>
      <c r="K60" s="232">
        <f>+K58+K48+K27+K24+K17</f>
        <v>9000998.9000000004</v>
      </c>
    </row>
    <row r="61" spans="1:11" ht="15" x14ac:dyDescent="0.25">
      <c r="A61" s="37"/>
      <c r="B61" s="10"/>
      <c r="C61" s="11"/>
      <c r="D61" s="17"/>
      <c r="E61" s="109"/>
      <c r="F61" s="110"/>
      <c r="G61" s="110"/>
      <c r="H61" s="110"/>
      <c r="I61" s="307"/>
      <c r="J61" s="310"/>
      <c r="K61" s="233"/>
    </row>
    <row r="62" spans="1:11" ht="15" x14ac:dyDescent="0.25">
      <c r="A62" s="37"/>
      <c r="B62" s="10"/>
      <c r="C62" s="11"/>
      <c r="D62" s="46" t="s">
        <v>141</v>
      </c>
      <c r="E62" s="99"/>
      <c r="F62" s="59"/>
      <c r="G62" s="59"/>
      <c r="H62" s="59"/>
      <c r="I62" s="290"/>
      <c r="J62" s="300"/>
      <c r="K62" s="53"/>
    </row>
    <row r="63" spans="1:11" ht="15" x14ac:dyDescent="0.25">
      <c r="A63" s="37"/>
      <c r="B63" s="10"/>
      <c r="C63" s="11"/>
      <c r="D63" s="10" t="s">
        <v>142</v>
      </c>
      <c r="E63" s="100">
        <f>Altre!C94</f>
        <v>121960</v>
      </c>
      <c r="F63" s="57"/>
      <c r="G63" s="57"/>
      <c r="H63" s="57">
        <f>Altre!D94</f>
        <v>72111</v>
      </c>
      <c r="I63" s="291">
        <f>E63</f>
        <v>121960</v>
      </c>
      <c r="J63" s="301">
        <f t="shared" ref="J63:J69" si="21">E63+F63-G63+H63-I63</f>
        <v>72111</v>
      </c>
      <c r="K63" s="54">
        <f t="shared" ref="K63:K69" si="22">E63</f>
        <v>121960</v>
      </c>
    </row>
    <row r="64" spans="1:11" ht="15" x14ac:dyDescent="0.25">
      <c r="A64" s="37"/>
      <c r="B64" s="10"/>
      <c r="C64" s="11"/>
      <c r="D64" s="10" t="s">
        <v>143</v>
      </c>
      <c r="E64" s="100">
        <v>0</v>
      </c>
      <c r="F64" s="57"/>
      <c r="G64" s="57"/>
      <c r="H64" s="57"/>
      <c r="I64" s="291"/>
      <c r="J64" s="301">
        <f t="shared" si="21"/>
        <v>0</v>
      </c>
      <c r="K64" s="54">
        <f t="shared" si="22"/>
        <v>0</v>
      </c>
    </row>
    <row r="65" spans="1:11" ht="15" x14ac:dyDescent="0.25">
      <c r="A65" s="37"/>
      <c r="B65" s="10"/>
      <c r="C65" s="11"/>
      <c r="D65" s="10" t="s">
        <v>144</v>
      </c>
      <c r="E65" s="100">
        <v>0</v>
      </c>
      <c r="F65" s="57"/>
      <c r="G65" s="57"/>
      <c r="H65" s="57"/>
      <c r="I65" s="291"/>
      <c r="J65" s="301">
        <f t="shared" si="21"/>
        <v>0</v>
      </c>
      <c r="K65" s="54">
        <f t="shared" si="22"/>
        <v>0</v>
      </c>
    </row>
    <row r="66" spans="1:11" ht="15" x14ac:dyDescent="0.25">
      <c r="A66" s="37"/>
      <c r="B66" s="10"/>
      <c r="C66" s="11"/>
      <c r="D66" s="10" t="s">
        <v>145</v>
      </c>
      <c r="E66" s="100">
        <v>0</v>
      </c>
      <c r="F66" s="57"/>
      <c r="G66" s="57"/>
      <c r="H66" s="57"/>
      <c r="I66" s="291"/>
      <c r="J66" s="301">
        <f t="shared" si="21"/>
        <v>0</v>
      </c>
      <c r="K66" s="54">
        <f t="shared" si="22"/>
        <v>0</v>
      </c>
    </row>
    <row r="67" spans="1:11" ht="15" x14ac:dyDescent="0.25">
      <c r="A67" s="37"/>
      <c r="B67" s="10"/>
      <c r="C67" s="11"/>
      <c r="D67" s="10" t="s">
        <v>146</v>
      </c>
      <c r="E67" s="100">
        <v>0</v>
      </c>
      <c r="F67" s="57"/>
      <c r="G67" s="57"/>
      <c r="H67" s="57"/>
      <c r="I67" s="291"/>
      <c r="J67" s="301">
        <f t="shared" si="21"/>
        <v>0</v>
      </c>
      <c r="K67" s="54">
        <f t="shared" si="22"/>
        <v>0</v>
      </c>
    </row>
    <row r="68" spans="1:11" ht="15" x14ac:dyDescent="0.25">
      <c r="A68" s="37"/>
      <c r="B68" s="10"/>
      <c r="C68" s="11"/>
      <c r="D68" s="10" t="s">
        <v>147</v>
      </c>
      <c r="E68" s="100">
        <v>0</v>
      </c>
      <c r="F68" s="57"/>
      <c r="G68" s="57"/>
      <c r="H68" s="57"/>
      <c r="I68" s="291"/>
      <c r="J68" s="301">
        <f t="shared" si="21"/>
        <v>0</v>
      </c>
      <c r="K68" s="54">
        <f t="shared" si="22"/>
        <v>0</v>
      </c>
    </row>
    <row r="69" spans="1:11" ht="15.75" thickBot="1" x14ac:dyDescent="0.3">
      <c r="A69" s="37"/>
      <c r="B69" s="10"/>
      <c r="C69" s="11"/>
      <c r="D69" s="10" t="s">
        <v>148</v>
      </c>
      <c r="E69" s="100">
        <v>0</v>
      </c>
      <c r="F69" s="57"/>
      <c r="G69" s="57"/>
      <c r="H69" s="57"/>
      <c r="I69" s="291"/>
      <c r="J69" s="301">
        <f t="shared" si="21"/>
        <v>0</v>
      </c>
      <c r="K69" s="54">
        <f t="shared" si="22"/>
        <v>0</v>
      </c>
    </row>
    <row r="70" spans="1:11" ht="15.75" thickBot="1" x14ac:dyDescent="0.3">
      <c r="A70" s="36"/>
      <c r="B70" s="7"/>
      <c r="C70" s="8"/>
      <c r="D70" s="32" t="s">
        <v>149</v>
      </c>
      <c r="E70" s="62">
        <f>SUM(E63:E69)</f>
        <v>121960</v>
      </c>
      <c r="F70" s="63">
        <f>SUM(F63:F69)</f>
        <v>0</v>
      </c>
      <c r="G70" s="63">
        <f t="shared" ref="G70:I70" si="23">SUM(G63:G69)</f>
        <v>0</v>
      </c>
      <c r="H70" s="63">
        <f t="shared" si="23"/>
        <v>72111</v>
      </c>
      <c r="I70" s="295">
        <f t="shared" si="23"/>
        <v>121960</v>
      </c>
      <c r="J70" s="305">
        <f>SUM(J63:J69)</f>
        <v>72111</v>
      </c>
      <c r="K70" s="234">
        <f>SUM(K63:K69)</f>
        <v>121960</v>
      </c>
    </row>
    <row r="71" spans="1:11" ht="15.75" thickTop="1" x14ac:dyDescent="0.25">
      <c r="A71" s="47"/>
      <c r="B71" s="47"/>
      <c r="C71" s="47"/>
      <c r="D71" s="47"/>
      <c r="E71" s="34"/>
      <c r="F71" s="34"/>
      <c r="G71" s="34"/>
      <c r="H71" s="34"/>
      <c r="I71" s="34"/>
      <c r="J71" s="34"/>
    </row>
  </sheetData>
  <mergeCells count="5">
    <mergeCell ref="D3:D4"/>
    <mergeCell ref="E3:E4"/>
    <mergeCell ref="J3:J4"/>
    <mergeCell ref="K3:K4"/>
    <mergeCell ref="A1:K1"/>
  </mergeCells>
  <printOptions horizontalCentered="1"/>
  <pageMargins left="0" right="0" top="0.39370078740157483" bottom="0" header="0.35433070866141736" footer="0.31496062992125984"/>
  <pageSetup paperSize="9" scale="95" fitToHeight="2" orientation="portrait" r:id="rId1"/>
  <rowBreaks count="1" manualBreakCount="1">
    <brk id="4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6"/>
  <sheetViews>
    <sheetView workbookViewId="0">
      <selection activeCell="A3" sqref="A3"/>
    </sheetView>
  </sheetViews>
  <sheetFormatPr defaultRowHeight="15" x14ac:dyDescent="0.25"/>
  <cols>
    <col min="1" max="1" width="53.42578125" customWidth="1"/>
    <col min="2" max="2" width="16.140625" bestFit="1" customWidth="1"/>
    <col min="3" max="3" width="78.7109375" customWidth="1"/>
  </cols>
  <sheetData>
    <row r="1" spans="1:3" ht="23.25" x14ac:dyDescent="0.35">
      <c r="A1" s="270" t="s">
        <v>415</v>
      </c>
    </row>
    <row r="3" spans="1:3" ht="18.75" x14ac:dyDescent="0.3">
      <c r="A3" s="271" t="s">
        <v>337</v>
      </c>
    </row>
    <row r="4" spans="1:3" ht="18.75" x14ac:dyDescent="0.3">
      <c r="A4" s="272"/>
    </row>
    <row r="5" spans="1:3" s="491" customFormat="1" ht="30" customHeight="1" x14ac:dyDescent="0.25">
      <c r="A5" s="273" t="s">
        <v>416</v>
      </c>
      <c r="B5" s="274">
        <f>'CONTO ECO'!D66</f>
        <v>0</v>
      </c>
      <c r="C5" s="490" t="s">
        <v>420</v>
      </c>
    </row>
    <row r="6" spans="1:3" s="491" customFormat="1" ht="30.75" customHeight="1" x14ac:dyDescent="0.25">
      <c r="A6" s="273" t="s">
        <v>339</v>
      </c>
      <c r="B6" s="277">
        <f>'CONTO ECO'!D67</f>
        <v>6527.16</v>
      </c>
      <c r="C6" s="490" t="s">
        <v>417</v>
      </c>
    </row>
    <row r="7" spans="1:3" s="491" customFormat="1" ht="120" x14ac:dyDescent="0.25">
      <c r="A7" s="273" t="s">
        <v>340</v>
      </c>
      <c r="B7" s="274">
        <f>'CONTO ECO'!D68</f>
        <v>32227.77</v>
      </c>
      <c r="C7" s="490" t="s">
        <v>700</v>
      </c>
    </row>
    <row r="8" spans="1:3" s="491" customFormat="1" ht="45" x14ac:dyDescent="0.25">
      <c r="A8" s="273" t="s">
        <v>341</v>
      </c>
      <c r="B8" s="274">
        <f>'CONTO ECO'!D69</f>
        <v>0</v>
      </c>
      <c r="C8" s="490" t="s">
        <v>690</v>
      </c>
    </row>
    <row r="9" spans="1:3" s="491" customFormat="1" ht="30" x14ac:dyDescent="0.25">
      <c r="A9" s="273" t="s">
        <v>342</v>
      </c>
      <c r="B9" s="274">
        <f>'CONTO ECO'!D70</f>
        <v>0</v>
      </c>
      <c r="C9" s="490" t="s">
        <v>419</v>
      </c>
    </row>
    <row r="10" spans="1:3" ht="18.75" x14ac:dyDescent="0.3">
      <c r="A10" s="275"/>
      <c r="B10" s="276"/>
    </row>
    <row r="11" spans="1:3" ht="18.75" x14ac:dyDescent="0.3">
      <c r="A11" s="271" t="s">
        <v>344</v>
      </c>
      <c r="B11" s="276"/>
    </row>
    <row r="12" spans="1:3" ht="18.75" x14ac:dyDescent="0.3">
      <c r="A12" s="272"/>
      <c r="B12" s="276"/>
    </row>
    <row r="13" spans="1:3" s="491" customFormat="1" ht="30.75" customHeight="1" x14ac:dyDescent="0.25">
      <c r="A13" s="273" t="s">
        <v>345</v>
      </c>
      <c r="B13" s="277">
        <f>'CONTO ECO'!D73</f>
        <v>0</v>
      </c>
      <c r="C13" s="490"/>
    </row>
    <row r="14" spans="1:3" s="491" customFormat="1" ht="60" x14ac:dyDescent="0.25">
      <c r="A14" s="273" t="s">
        <v>346</v>
      </c>
      <c r="B14" s="274">
        <f>'CONTO ECO'!D74</f>
        <v>12819.75</v>
      </c>
      <c r="C14" s="490" t="s">
        <v>701</v>
      </c>
    </row>
    <row r="15" spans="1:3" s="491" customFormat="1" ht="45" x14ac:dyDescent="0.25">
      <c r="A15" s="273" t="s">
        <v>347</v>
      </c>
      <c r="B15" s="277">
        <f>'CONTO ECO'!D75</f>
        <v>0</v>
      </c>
      <c r="C15" s="490" t="s">
        <v>690</v>
      </c>
    </row>
    <row r="16" spans="1:3" s="491" customFormat="1" ht="30.75" customHeight="1" x14ac:dyDescent="0.25">
      <c r="A16" s="273" t="s">
        <v>348</v>
      </c>
      <c r="B16" s="277">
        <f>'CONTO ECO'!D76</f>
        <v>0</v>
      </c>
      <c r="C16" s="490" t="s">
        <v>418</v>
      </c>
    </row>
  </sheetData>
  <printOptions horizontalCentered="1" verticalCentered="1" gridLines="1"/>
  <pageMargins left="0.19685039370078741" right="0.19685039370078741" top="0.55118110236220474" bottom="0.55118110236220474" header="0.31496062992125984" footer="0.31496062992125984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7"/>
  <sheetViews>
    <sheetView workbookViewId="0"/>
  </sheetViews>
  <sheetFormatPr defaultRowHeight="15" x14ac:dyDescent="0.25"/>
  <cols>
    <col min="1" max="1" width="59.85546875" customWidth="1"/>
    <col min="2" max="2" width="12.85546875" bestFit="1" customWidth="1"/>
    <col min="3" max="3" width="60.7109375" bestFit="1" customWidth="1"/>
    <col min="4" max="4" width="11.7109375" bestFit="1" customWidth="1"/>
  </cols>
  <sheetData>
    <row r="1" spans="1:4" ht="23.25" x14ac:dyDescent="0.35">
      <c r="A1" s="243" t="s">
        <v>421</v>
      </c>
      <c r="B1" s="244"/>
      <c r="C1" s="243"/>
      <c r="D1" s="243"/>
    </row>
    <row r="2" spans="1:4" x14ac:dyDescent="0.25">
      <c r="A2" s="245"/>
      <c r="B2" s="246"/>
      <c r="C2" s="245"/>
      <c r="D2" s="245"/>
    </row>
    <row r="3" spans="1:4" ht="15.75" x14ac:dyDescent="0.25">
      <c r="A3" s="247" t="s">
        <v>393</v>
      </c>
      <c r="B3" s="248" t="s">
        <v>394</v>
      </c>
      <c r="C3" s="247" t="s">
        <v>395</v>
      </c>
      <c r="D3" s="247" t="s">
        <v>396</v>
      </c>
    </row>
    <row r="5" spans="1:4" x14ac:dyDescent="0.25">
      <c r="A5" s="249" t="s">
        <v>412</v>
      </c>
      <c r="B5" s="250">
        <f>'Variazioni immobilizzazioni AC'!J32</f>
        <v>2537.6</v>
      </c>
      <c r="C5" s="249" t="s">
        <v>399</v>
      </c>
      <c r="D5" s="251"/>
    </row>
    <row r="6" spans="1:4" x14ac:dyDescent="0.25">
      <c r="A6" s="251"/>
      <c r="B6" s="251"/>
      <c r="C6" s="251"/>
      <c r="D6" s="251"/>
    </row>
    <row r="7" spans="1:4" x14ac:dyDescent="0.25">
      <c r="A7" s="252" t="s">
        <v>398</v>
      </c>
      <c r="B7" s="253">
        <f>SUM(B5:B6)</f>
        <v>2537.6</v>
      </c>
      <c r="C7" s="251"/>
      <c r="D7" s="251"/>
    </row>
    <row r="8" spans="1:4" x14ac:dyDescent="0.25">
      <c r="A8" s="251"/>
      <c r="B8" s="251"/>
      <c r="C8" s="251"/>
      <c r="D8" s="251"/>
    </row>
    <row r="9" spans="1:4" x14ac:dyDescent="0.25">
      <c r="A9" s="249" t="s">
        <v>397</v>
      </c>
      <c r="B9" s="250">
        <f>'Variazioni immobilizzazioni AC'!C32</f>
        <v>154477.54999999999</v>
      </c>
      <c r="C9" s="249" t="s">
        <v>399</v>
      </c>
      <c r="D9" s="251"/>
    </row>
    <row r="10" spans="1:4" x14ac:dyDescent="0.25">
      <c r="A10" s="251"/>
      <c r="B10" s="251"/>
      <c r="C10" s="251"/>
      <c r="D10" s="251"/>
    </row>
    <row r="11" spans="1:4" x14ac:dyDescent="0.25">
      <c r="A11" s="252" t="s">
        <v>398</v>
      </c>
      <c r="B11" s="253">
        <f>SUM(B9:B10)</f>
        <v>154477.54999999999</v>
      </c>
      <c r="C11" s="251"/>
      <c r="D11" s="251"/>
    </row>
    <row r="12" spans="1:4" x14ac:dyDescent="0.25">
      <c r="A12" s="251"/>
      <c r="B12" s="251"/>
      <c r="C12" s="251"/>
      <c r="D12" s="251"/>
    </row>
    <row r="13" spans="1:4" x14ac:dyDescent="0.25">
      <c r="A13" s="249" t="s">
        <v>409</v>
      </c>
      <c r="B13" s="250">
        <f>'Variazioni immobilizzazioni AC'!M32</f>
        <v>45295.979999999996</v>
      </c>
      <c r="C13" s="249" t="s">
        <v>399</v>
      </c>
      <c r="D13" s="249"/>
    </row>
    <row r="14" spans="1:4" x14ac:dyDescent="0.25">
      <c r="A14" s="249"/>
      <c r="B14" s="250"/>
      <c r="C14" s="249"/>
      <c r="D14" s="249"/>
    </row>
    <row r="15" spans="1:4" x14ac:dyDescent="0.25">
      <c r="A15" s="252" t="s">
        <v>398</v>
      </c>
      <c r="B15" s="253">
        <f>SUM(B13:B14)</f>
        <v>45295.979999999996</v>
      </c>
      <c r="C15" s="251"/>
      <c r="D15" s="251"/>
    </row>
    <row r="16" spans="1:4" x14ac:dyDescent="0.25">
      <c r="A16" s="251"/>
      <c r="B16" s="251"/>
      <c r="C16" s="251"/>
      <c r="D16" s="251"/>
    </row>
    <row r="17" spans="1:4" x14ac:dyDescent="0.25">
      <c r="A17" s="249" t="s">
        <v>400</v>
      </c>
      <c r="B17" s="250">
        <v>3553.98</v>
      </c>
      <c r="C17" s="249" t="s">
        <v>1008</v>
      </c>
      <c r="D17" s="249" t="s">
        <v>401</v>
      </c>
    </row>
    <row r="18" spans="1:4" x14ac:dyDescent="0.25">
      <c r="A18" s="249"/>
      <c r="B18" s="250"/>
      <c r="C18" s="249"/>
      <c r="D18" s="249"/>
    </row>
    <row r="19" spans="1:4" x14ac:dyDescent="0.25">
      <c r="A19" s="252" t="s">
        <v>398</v>
      </c>
      <c r="B19" s="253">
        <f>SUM(B17:B18)</f>
        <v>3553.98</v>
      </c>
      <c r="C19" s="251"/>
      <c r="D19" s="251"/>
    </row>
    <row r="20" spans="1:4" x14ac:dyDescent="0.25">
      <c r="A20" s="251"/>
      <c r="B20" s="251"/>
      <c r="C20" s="251"/>
      <c r="D20" s="251"/>
    </row>
    <row r="21" spans="1:4" x14ac:dyDescent="0.25">
      <c r="A21" s="249" t="s">
        <v>423</v>
      </c>
      <c r="B21" s="250">
        <f>Altre!F110</f>
        <v>12682.730000000003</v>
      </c>
      <c r="C21" s="249" t="s">
        <v>424</v>
      </c>
      <c r="D21" s="249"/>
    </row>
    <row r="22" spans="1:4" x14ac:dyDescent="0.25">
      <c r="A22" s="249"/>
      <c r="B22" s="250"/>
      <c r="C22" s="249"/>
      <c r="D22" s="249"/>
    </row>
    <row r="23" spans="1:4" x14ac:dyDescent="0.25">
      <c r="A23" s="252" t="s">
        <v>398</v>
      </c>
      <c r="B23" s="253">
        <f>SUM(B21:B22)</f>
        <v>12682.730000000003</v>
      </c>
      <c r="C23" s="251"/>
      <c r="D23" s="251"/>
    </row>
    <row r="24" spans="1:4" x14ac:dyDescent="0.25">
      <c r="A24" s="251"/>
      <c r="B24" s="251"/>
      <c r="C24" s="251"/>
      <c r="D24" s="251"/>
    </row>
    <row r="25" spans="1:4" ht="23.25" x14ac:dyDescent="0.35">
      <c r="A25" s="243" t="s">
        <v>422</v>
      </c>
      <c r="B25" s="244"/>
      <c r="C25" s="243"/>
      <c r="D25" s="243"/>
    </row>
    <row r="26" spans="1:4" x14ac:dyDescent="0.25">
      <c r="A26" s="245"/>
      <c r="B26" s="246"/>
      <c r="C26" s="245"/>
      <c r="D26" s="245"/>
    </row>
    <row r="27" spans="1:4" ht="15.75" x14ac:dyDescent="0.25">
      <c r="A27" s="247" t="s">
        <v>393</v>
      </c>
      <c r="B27" s="248" t="s">
        <v>394</v>
      </c>
      <c r="C27" s="247" t="s">
        <v>395</v>
      </c>
      <c r="D27" s="247" t="s">
        <v>396</v>
      </c>
    </row>
    <row r="28" spans="1:4" x14ac:dyDescent="0.25">
      <c r="A28" s="249"/>
      <c r="B28" s="250"/>
      <c r="C28" s="249"/>
      <c r="D28" s="249"/>
    </row>
    <row r="29" spans="1:4" x14ac:dyDescent="0.25">
      <c r="A29" s="249" t="s">
        <v>413</v>
      </c>
      <c r="B29" s="250">
        <v>0</v>
      </c>
      <c r="C29" s="249" t="s">
        <v>399</v>
      </c>
      <c r="D29" s="249"/>
    </row>
    <row r="30" spans="1:4" x14ac:dyDescent="0.25">
      <c r="A30" s="249"/>
      <c r="B30" s="250"/>
      <c r="C30" s="249"/>
      <c r="D30" s="249"/>
    </row>
    <row r="31" spans="1:4" x14ac:dyDescent="0.25">
      <c r="A31" s="249" t="s">
        <v>402</v>
      </c>
      <c r="B31" s="250">
        <f>'Variazioni immobilizzazioni AC'!J43</f>
        <v>28260.39</v>
      </c>
      <c r="C31" s="249" t="s">
        <v>251</v>
      </c>
      <c r="D31" s="249"/>
    </row>
    <row r="32" spans="1:4" x14ac:dyDescent="0.25">
      <c r="A32" s="249"/>
      <c r="B32" s="250"/>
      <c r="C32" s="249"/>
      <c r="D32" s="249"/>
    </row>
    <row r="33" spans="1:4" x14ac:dyDescent="0.25">
      <c r="A33" s="249" t="s">
        <v>403</v>
      </c>
      <c r="B33" s="250">
        <f>'Variazioni immobilizzazioni AC'!S43-'Variazioni immobilizzazioni AC'!J43</f>
        <v>243733.06999999995</v>
      </c>
      <c r="C33" s="249" t="s">
        <v>251</v>
      </c>
      <c r="D33" s="249"/>
    </row>
    <row r="34" spans="1:4" x14ac:dyDescent="0.25">
      <c r="A34" s="249"/>
      <c r="B34" s="250"/>
      <c r="C34" s="249"/>
      <c r="D34" s="249"/>
    </row>
    <row r="35" spans="1:4" x14ac:dyDescent="0.25">
      <c r="A35" s="249" t="s">
        <v>404</v>
      </c>
      <c r="B35" s="250">
        <f>B5+B9+B13</f>
        <v>202311.13</v>
      </c>
      <c r="C35" s="249" t="s">
        <v>399</v>
      </c>
      <c r="D35" s="249"/>
    </row>
    <row r="36" spans="1:4" x14ac:dyDescent="0.25">
      <c r="A36" s="249"/>
      <c r="B36" s="250">
        <f>'Variazioni immobilizzazioni AC'!R54</f>
        <v>0</v>
      </c>
      <c r="C36" s="249" t="s">
        <v>410</v>
      </c>
      <c r="D36" s="249"/>
    </row>
    <row r="37" spans="1:4" x14ac:dyDescent="0.25">
      <c r="A37" s="249"/>
      <c r="B37" s="250">
        <f>'Titolo 2'!B4</f>
        <v>0</v>
      </c>
      <c r="C37" s="249" t="s">
        <v>411</v>
      </c>
      <c r="D37" s="249"/>
    </row>
    <row r="38" spans="1:4" x14ac:dyDescent="0.25">
      <c r="A38" s="249"/>
      <c r="B38" s="250"/>
      <c r="C38" s="249"/>
      <c r="D38" s="249"/>
    </row>
    <row r="39" spans="1:4" x14ac:dyDescent="0.25">
      <c r="A39" s="252" t="s">
        <v>398</v>
      </c>
      <c r="B39" s="262">
        <f>SUM(B35:B38)</f>
        <v>202311.13</v>
      </c>
      <c r="C39" s="249"/>
      <c r="D39" s="249"/>
    </row>
    <row r="40" spans="1:4" x14ac:dyDescent="0.25">
      <c r="A40" s="249"/>
      <c r="B40" s="250"/>
      <c r="C40" s="249"/>
      <c r="D40" s="249"/>
    </row>
    <row r="41" spans="1:4" x14ac:dyDescent="0.25">
      <c r="A41" s="249"/>
      <c r="B41" s="250"/>
      <c r="C41" s="249"/>
      <c r="D41" s="249"/>
    </row>
    <row r="42" spans="1:4" x14ac:dyDescent="0.25">
      <c r="A42" s="249"/>
      <c r="B42" s="250"/>
      <c r="C42" s="249"/>
      <c r="D42" s="249"/>
    </row>
    <row r="43" spans="1:4" x14ac:dyDescent="0.25">
      <c r="A43" s="249"/>
      <c r="B43" s="250"/>
      <c r="C43" s="249"/>
      <c r="D43" s="249"/>
    </row>
    <row r="44" spans="1:4" x14ac:dyDescent="0.25">
      <c r="A44" s="249"/>
      <c r="B44" s="250"/>
      <c r="C44" s="249"/>
      <c r="D44" s="249"/>
    </row>
    <row r="45" spans="1:4" x14ac:dyDescent="0.25">
      <c r="A45" s="249"/>
      <c r="B45" s="250"/>
      <c r="C45" s="249"/>
      <c r="D45" s="249"/>
    </row>
    <row r="46" spans="1:4" x14ac:dyDescent="0.25">
      <c r="A46" s="249"/>
      <c r="B46" s="250"/>
      <c r="C46" s="249"/>
      <c r="D46" s="249"/>
    </row>
    <row r="47" spans="1:4" x14ac:dyDescent="0.25">
      <c r="A47" s="249"/>
      <c r="B47" s="250"/>
      <c r="C47" s="249"/>
      <c r="D47" s="249"/>
    </row>
  </sheetData>
  <printOptions horizontalCentered="1" gridLines="1"/>
  <pageMargins left="0" right="0" top="0.39370078740157483" bottom="0.39370078740157483" header="0.31496062992125984" footer="0.31496062992125984"/>
  <pageSetup paperSize="9" scale="90" orientation="landscape" r:id="rId1"/>
  <rowBreaks count="1" manualBreakCount="1">
    <brk id="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3"/>
  <sheetViews>
    <sheetView topLeftCell="A22" workbookViewId="0">
      <selection activeCell="C8" sqref="C8"/>
    </sheetView>
  </sheetViews>
  <sheetFormatPr defaultRowHeight="15" x14ac:dyDescent="0.25"/>
  <cols>
    <col min="1" max="1" width="8.140625" bestFit="1" customWidth="1"/>
    <col min="2" max="2" width="10.140625" bestFit="1" customWidth="1"/>
    <col min="3" max="3" width="90.140625" customWidth="1"/>
    <col min="4" max="4" width="11.85546875" bestFit="1" customWidth="1"/>
    <col min="5" max="5" width="22.42578125" bestFit="1" customWidth="1"/>
  </cols>
  <sheetData>
    <row r="1" spans="1:4" s="254" customFormat="1" ht="25.5" customHeight="1" x14ac:dyDescent="0.35">
      <c r="B1" s="243" t="s">
        <v>405</v>
      </c>
      <c r="D1" s="255"/>
    </row>
    <row r="2" spans="1:4" s="256" customFormat="1" ht="12.75" x14ac:dyDescent="0.2">
      <c r="B2" s="257"/>
      <c r="D2" s="257"/>
    </row>
    <row r="3" spans="1:4" s="256" customFormat="1" ht="12.75" x14ac:dyDescent="0.2">
      <c r="B3" s="257"/>
      <c r="D3" s="257"/>
    </row>
    <row r="4" spans="1:4" s="247" customFormat="1" ht="15.75" x14ac:dyDescent="0.25">
      <c r="A4" s="247" t="s">
        <v>436</v>
      </c>
      <c r="B4" s="248" t="s">
        <v>532</v>
      </c>
      <c r="C4" s="248" t="s">
        <v>406</v>
      </c>
      <c r="D4" s="248" t="s">
        <v>394</v>
      </c>
    </row>
    <row r="5" spans="1:4" s="256" customFormat="1" ht="12.75" x14ac:dyDescent="0.2">
      <c r="B5" s="257"/>
      <c r="D5" s="257"/>
    </row>
    <row r="6" spans="1:4" s="256" customFormat="1" ht="15" customHeight="1" x14ac:dyDescent="0.2">
      <c r="B6" s="258"/>
      <c r="C6" s="256" t="s">
        <v>531</v>
      </c>
      <c r="D6" s="259">
        <v>0</v>
      </c>
    </row>
    <row r="7" spans="1:4" s="256" customFormat="1" ht="15" customHeight="1" x14ac:dyDescent="0.2">
      <c r="B7" s="258"/>
      <c r="D7" s="259"/>
    </row>
    <row r="8" spans="1:4" s="249" customFormat="1" ht="15" customHeight="1" x14ac:dyDescent="0.2">
      <c r="B8" s="260"/>
      <c r="D8" s="250"/>
    </row>
    <row r="9" spans="1:4" s="249" customFormat="1" ht="15" customHeight="1" x14ac:dyDescent="0.2">
      <c r="B9" s="261"/>
      <c r="C9" s="245" t="s">
        <v>407</v>
      </c>
      <c r="D9" s="262">
        <f>SUM(D6:D8)</f>
        <v>0</v>
      </c>
    </row>
    <row r="10" spans="1:4" s="249" customFormat="1" ht="15" customHeight="1" x14ac:dyDescent="0.2">
      <c r="B10" s="261"/>
      <c r="C10" s="245"/>
      <c r="D10" s="250"/>
    </row>
    <row r="11" spans="1:4" s="249" customFormat="1" ht="15" customHeight="1" x14ac:dyDescent="0.2">
      <c r="B11" s="261"/>
      <c r="D11" s="250"/>
    </row>
    <row r="12" spans="1:4" s="249" customFormat="1" ht="15" customHeight="1" x14ac:dyDescent="0.2">
      <c r="B12" s="260"/>
      <c r="C12" s="249" t="s">
        <v>531</v>
      </c>
      <c r="D12" s="250">
        <v>0</v>
      </c>
    </row>
    <row r="13" spans="1:4" s="249" customFormat="1" ht="15" customHeight="1" x14ac:dyDescent="0.2">
      <c r="B13" s="260"/>
      <c r="D13" s="250"/>
    </row>
    <row r="14" spans="1:4" s="249" customFormat="1" ht="15" customHeight="1" x14ac:dyDescent="0.2">
      <c r="B14" s="260"/>
      <c r="D14" s="250"/>
    </row>
    <row r="15" spans="1:4" s="249" customFormat="1" ht="15" customHeight="1" x14ac:dyDescent="0.2">
      <c r="B15" s="261"/>
      <c r="C15" s="245" t="s">
        <v>533</v>
      </c>
      <c r="D15" s="262">
        <f>SUM(D12:D14)</f>
        <v>0</v>
      </c>
    </row>
    <row r="16" spans="1:4" s="249" customFormat="1" ht="15" customHeight="1" x14ac:dyDescent="0.2">
      <c r="B16" s="261"/>
      <c r="C16" s="245"/>
      <c r="D16" s="262"/>
    </row>
    <row r="17" spans="2:4" s="256" customFormat="1" ht="15" customHeight="1" x14ac:dyDescent="0.2">
      <c r="B17" s="257"/>
      <c r="D17" s="263"/>
    </row>
    <row r="18" spans="2:4" s="249" customFormat="1" ht="15" customHeight="1" x14ac:dyDescent="0.2">
      <c r="B18" s="260"/>
      <c r="C18" s="249" t="s">
        <v>531</v>
      </c>
      <c r="D18" s="250">
        <v>0</v>
      </c>
    </row>
    <row r="19" spans="2:4" s="249" customFormat="1" ht="15" customHeight="1" x14ac:dyDescent="0.2">
      <c r="B19" s="260"/>
      <c r="D19" s="250"/>
    </row>
    <row r="20" spans="2:4" s="249" customFormat="1" ht="15" customHeight="1" x14ac:dyDescent="0.2">
      <c r="B20" s="260"/>
      <c r="D20" s="250"/>
    </row>
    <row r="21" spans="2:4" s="249" customFormat="1" ht="15" customHeight="1" x14ac:dyDescent="0.2">
      <c r="B21" s="261"/>
      <c r="C21" s="245" t="s">
        <v>306</v>
      </c>
      <c r="D21" s="262">
        <f>SUM(D18:D20)</f>
        <v>0</v>
      </c>
    </row>
    <row r="22" spans="2:4" s="249" customFormat="1" ht="15" customHeight="1" x14ac:dyDescent="0.2">
      <c r="B22" s="261"/>
      <c r="C22" s="245"/>
      <c r="D22" s="262"/>
    </row>
    <row r="23" spans="2:4" s="249" customFormat="1" ht="15" customHeight="1" x14ac:dyDescent="0.2">
      <c r="B23" s="260"/>
      <c r="D23" s="259"/>
    </row>
    <row r="24" spans="2:4" s="249" customFormat="1" ht="15" customHeight="1" x14ac:dyDescent="0.2">
      <c r="B24" s="260"/>
      <c r="C24" s="256" t="s">
        <v>531</v>
      </c>
      <c r="D24" s="259">
        <v>0</v>
      </c>
    </row>
    <row r="25" spans="2:4" s="249" customFormat="1" ht="15" customHeight="1" x14ac:dyDescent="0.2">
      <c r="B25" s="260"/>
      <c r="D25" s="259"/>
    </row>
    <row r="26" spans="2:4" s="256" customFormat="1" ht="15" customHeight="1" x14ac:dyDescent="0.2">
      <c r="B26" s="257"/>
      <c r="D26" s="257"/>
    </row>
    <row r="27" spans="2:4" s="256" customFormat="1" ht="15" customHeight="1" x14ac:dyDescent="0.2">
      <c r="B27" s="257"/>
      <c r="C27" s="245" t="s">
        <v>408</v>
      </c>
      <c r="D27" s="262">
        <f>SUM(D24:D26)</f>
        <v>0</v>
      </c>
    </row>
    <row r="28" spans="2:4" ht="15" customHeight="1" x14ac:dyDescent="0.25"/>
    <row r="29" spans="2:4" ht="15" customHeight="1" x14ac:dyDescent="0.25"/>
    <row r="30" spans="2:4" s="249" customFormat="1" ht="15" customHeight="1" x14ac:dyDescent="0.2">
      <c r="B30" s="260"/>
      <c r="C30" s="256" t="s">
        <v>531</v>
      </c>
      <c r="D30" s="259">
        <v>0</v>
      </c>
    </row>
    <row r="31" spans="2:4" s="249" customFormat="1" ht="15" customHeight="1" x14ac:dyDescent="0.2">
      <c r="B31" s="260"/>
      <c r="D31" s="259"/>
    </row>
    <row r="32" spans="2:4" s="256" customFormat="1" ht="15" customHeight="1" x14ac:dyDescent="0.2">
      <c r="B32" s="257"/>
      <c r="D32" s="257"/>
    </row>
    <row r="33" spans="2:4" s="256" customFormat="1" ht="15" customHeight="1" x14ac:dyDescent="0.2">
      <c r="B33" s="257"/>
      <c r="C33" s="245" t="s">
        <v>534</v>
      </c>
      <c r="D33" s="262">
        <f>SUM(D30:D32)</f>
        <v>0</v>
      </c>
    </row>
  </sheetData>
  <printOptions horizontalCentered="1" verticalCentered="1" gridLines="1"/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workbookViewId="0">
      <selection activeCell="B2" sqref="B2"/>
    </sheetView>
  </sheetViews>
  <sheetFormatPr defaultRowHeight="15" x14ac:dyDescent="0.25"/>
  <cols>
    <col min="1" max="1" width="3.42578125" bestFit="1" customWidth="1"/>
    <col min="2" max="2" width="67.42578125" customWidth="1"/>
    <col min="3" max="3" width="15.7109375" customWidth="1"/>
    <col min="4" max="4" width="6.7109375" bestFit="1" customWidth="1"/>
    <col min="5" max="6" width="9.5703125" style="64" bestFit="1" customWidth="1"/>
  </cols>
  <sheetData>
    <row r="1" spans="1:6" x14ac:dyDescent="0.25">
      <c r="A1" s="431"/>
      <c r="B1" s="467" t="s">
        <v>645</v>
      </c>
      <c r="C1" s="75"/>
    </row>
    <row r="2" spans="1:6" x14ac:dyDescent="0.25">
      <c r="A2" s="76"/>
      <c r="B2" s="72"/>
      <c r="C2" s="77"/>
    </row>
    <row r="3" spans="1:6" x14ac:dyDescent="0.25">
      <c r="A3" s="473" t="s">
        <v>646</v>
      </c>
      <c r="B3" s="410" t="s">
        <v>647</v>
      </c>
      <c r="C3" s="476">
        <f>'SP-ATTIVO'!J74</f>
        <v>494515.24999999988</v>
      </c>
    </row>
    <row r="4" spans="1:6" x14ac:dyDescent="0.25">
      <c r="A4" s="473" t="s">
        <v>646</v>
      </c>
      <c r="B4" s="410" t="s">
        <v>648</v>
      </c>
      <c r="C4" s="476">
        <f>Altre!E71+Altre!F74</f>
        <v>2932.98</v>
      </c>
      <c r="D4" s="462"/>
    </row>
    <row r="5" spans="1:6" x14ac:dyDescent="0.25">
      <c r="A5" s="473" t="s">
        <v>646</v>
      </c>
      <c r="B5" s="410" t="s">
        <v>649</v>
      </c>
      <c r="C5" s="476">
        <f>'SP-ATTIVO'!J85</f>
        <v>0</v>
      </c>
    </row>
    <row r="6" spans="1:6" x14ac:dyDescent="0.25">
      <c r="A6" s="473" t="s">
        <v>646</v>
      </c>
      <c r="B6" s="410" t="s">
        <v>650</v>
      </c>
      <c r="C6" s="476">
        <v>0</v>
      </c>
    </row>
    <row r="7" spans="1:6" x14ac:dyDescent="0.25">
      <c r="A7" s="473" t="s">
        <v>651</v>
      </c>
      <c r="B7" s="410" t="s">
        <v>652</v>
      </c>
      <c r="C7" s="480">
        <f>IF((Altre!I130&gt;Altre!I131),(Altre!I130-Altre!I131),0)</f>
        <v>0</v>
      </c>
    </row>
    <row r="8" spans="1:6" x14ac:dyDescent="0.25">
      <c r="A8" s="473" t="s">
        <v>653</v>
      </c>
      <c r="B8" s="410" t="s">
        <v>654</v>
      </c>
      <c r="C8" s="476">
        <f>Altre!F74</f>
        <v>0</v>
      </c>
      <c r="D8" s="462"/>
    </row>
    <row r="9" spans="1:6" x14ac:dyDescent="0.25">
      <c r="A9" s="473" t="s">
        <v>653</v>
      </c>
      <c r="B9" s="410" t="s">
        <v>655</v>
      </c>
      <c r="C9" s="476">
        <v>0</v>
      </c>
    </row>
    <row r="10" spans="1:6" ht="15.75" thickBot="1" x14ac:dyDescent="0.3">
      <c r="A10" s="481"/>
      <c r="B10" s="478" t="s">
        <v>656</v>
      </c>
      <c r="C10" s="479">
        <f>C3+C4+C5+C6-C7-C8-C9</f>
        <v>497448.22999999986</v>
      </c>
      <c r="D10" s="463"/>
      <c r="E10" s="464"/>
      <c r="F10" s="172"/>
    </row>
    <row r="12" spans="1:6" ht="15.75" thickBot="1" x14ac:dyDescent="0.3"/>
    <row r="13" spans="1:6" x14ac:dyDescent="0.25">
      <c r="A13" s="431"/>
      <c r="B13" s="467" t="s">
        <v>657</v>
      </c>
      <c r="C13" s="75"/>
    </row>
    <row r="14" spans="1:6" x14ac:dyDescent="0.25">
      <c r="A14" s="76"/>
      <c r="B14" s="72"/>
      <c r="C14" s="77"/>
    </row>
    <row r="15" spans="1:6" x14ac:dyDescent="0.25">
      <c r="A15" s="473" t="s">
        <v>646</v>
      </c>
      <c r="B15" s="410" t="s">
        <v>540</v>
      </c>
      <c r="C15" s="476">
        <f>'SP- PASSIVO'!J48</f>
        <v>1263316.27</v>
      </c>
    </row>
    <row r="16" spans="1:6" x14ac:dyDescent="0.25">
      <c r="A16" s="473" t="s">
        <v>653</v>
      </c>
      <c r="B16" s="410" t="s">
        <v>658</v>
      </c>
      <c r="C16" s="476">
        <f>'SP- PASSIVO'!J30</f>
        <v>577498.65999999992</v>
      </c>
      <c r="D16" s="462"/>
    </row>
    <row r="17" spans="1:6" x14ac:dyDescent="0.25">
      <c r="A17" s="473" t="s">
        <v>651</v>
      </c>
      <c r="B17" s="410" t="s">
        <v>659</v>
      </c>
      <c r="C17" s="480">
        <v>0</v>
      </c>
      <c r="D17" s="462"/>
    </row>
    <row r="18" spans="1:6" x14ac:dyDescent="0.25">
      <c r="A18" s="473" t="s">
        <v>660</v>
      </c>
      <c r="B18" s="410" t="s">
        <v>661</v>
      </c>
      <c r="C18" s="476">
        <v>0</v>
      </c>
      <c r="D18" s="462"/>
    </row>
    <row r="19" spans="1:6" x14ac:dyDescent="0.25">
      <c r="A19" s="473" t="s">
        <v>646</v>
      </c>
      <c r="B19" s="410" t="s">
        <v>662</v>
      </c>
      <c r="C19" s="476">
        <v>0</v>
      </c>
      <c r="D19" s="462"/>
    </row>
    <row r="20" spans="1:6" x14ac:dyDescent="0.25">
      <c r="A20" s="473" t="s">
        <v>653</v>
      </c>
      <c r="B20" s="410" t="s">
        <v>663</v>
      </c>
      <c r="C20" s="476">
        <v>0</v>
      </c>
    </row>
    <row r="21" spans="1:6" x14ac:dyDescent="0.25">
      <c r="A21" s="473" t="s">
        <v>646</v>
      </c>
      <c r="B21" s="410" t="s">
        <v>664</v>
      </c>
      <c r="C21" s="476">
        <v>0</v>
      </c>
    </row>
    <row r="22" spans="1:6" ht="15.75" thickBot="1" x14ac:dyDescent="0.3">
      <c r="A22" s="481"/>
      <c r="B22" s="478" t="s">
        <v>665</v>
      </c>
      <c r="C22" s="479">
        <f>C15-C16-C17+C18+C19-C20+C21</f>
        <v>685817.6100000001</v>
      </c>
      <c r="D22" s="463"/>
      <c r="E22" s="464"/>
      <c r="F22" s="172"/>
    </row>
    <row r="23" spans="1:6" x14ac:dyDescent="0.25">
      <c r="A23" s="72"/>
      <c r="B23" s="468"/>
      <c r="C23" s="83"/>
      <c r="D23" s="463"/>
      <c r="E23" s="464"/>
      <c r="F23" s="172"/>
    </row>
    <row r="24" spans="1:6" ht="15.75" thickBot="1" x14ac:dyDescent="0.3"/>
    <row r="25" spans="1:6" x14ac:dyDescent="0.25">
      <c r="A25" s="470"/>
      <c r="B25" s="471" t="s">
        <v>666</v>
      </c>
      <c r="C25" s="472"/>
    </row>
    <row r="26" spans="1:6" x14ac:dyDescent="0.25">
      <c r="A26" s="473"/>
      <c r="B26" s="410"/>
      <c r="C26" s="474"/>
    </row>
    <row r="27" spans="1:6" s="465" customFormat="1" x14ac:dyDescent="0.25">
      <c r="A27" s="475" t="s">
        <v>646</v>
      </c>
      <c r="B27" s="469" t="s">
        <v>667</v>
      </c>
      <c r="C27" s="476">
        <f>'SP- PASSIVO'!J17</f>
        <v>5340364.1399999987</v>
      </c>
      <c r="E27" s="466"/>
      <c r="F27" s="466"/>
    </row>
    <row r="28" spans="1:6" s="465" customFormat="1" x14ac:dyDescent="0.25">
      <c r="A28" s="475" t="s">
        <v>653</v>
      </c>
      <c r="B28" s="469" t="s">
        <v>668</v>
      </c>
      <c r="C28" s="476">
        <f>'SP- PASSIVO'!K17</f>
        <v>5415025.5800000001</v>
      </c>
      <c r="E28" s="466"/>
      <c r="F28" s="466"/>
    </row>
    <row r="29" spans="1:6" s="465" customFormat="1" x14ac:dyDescent="0.25">
      <c r="A29" s="475" t="s">
        <v>653</v>
      </c>
      <c r="B29" s="469" t="s">
        <v>669</v>
      </c>
      <c r="C29" s="476">
        <f>'CONTO ECO'!D83</f>
        <v>-114192.6699999999</v>
      </c>
      <c r="E29" s="466"/>
      <c r="F29" s="466"/>
    </row>
    <row r="30" spans="1:6" s="465" customFormat="1" x14ac:dyDescent="0.25">
      <c r="A30" s="475" t="s">
        <v>653</v>
      </c>
      <c r="B30" s="469" t="s">
        <v>670</v>
      </c>
      <c r="C30" s="476">
        <f>Altre!D44+Altre!H44-Altre!C45</f>
        <v>26848.5</v>
      </c>
      <c r="E30" s="466"/>
      <c r="F30" s="466"/>
    </row>
    <row r="31" spans="1:6" s="465" customFormat="1" x14ac:dyDescent="0.25">
      <c r="A31" s="475" t="s">
        <v>646</v>
      </c>
      <c r="B31" s="469" t="s">
        <v>672</v>
      </c>
      <c r="C31" s="476">
        <f>Altre!C47</f>
        <v>0</v>
      </c>
      <c r="E31" s="466"/>
      <c r="F31" s="466"/>
    </row>
    <row r="32" spans="1:6" s="465" customFormat="1" x14ac:dyDescent="0.25">
      <c r="A32" s="475" t="s">
        <v>653</v>
      </c>
      <c r="B32" s="469" t="s">
        <v>673</v>
      </c>
      <c r="C32" s="476">
        <f>Altre!F110+Altre!F114+Altre!F118</f>
        <v>12682.730000000003</v>
      </c>
      <c r="E32" s="466"/>
      <c r="F32" s="466"/>
    </row>
    <row r="33" spans="1:6" s="465" customFormat="1" ht="15.75" thickBot="1" x14ac:dyDescent="0.3">
      <c r="A33" s="477"/>
      <c r="B33" s="478" t="s">
        <v>671</v>
      </c>
      <c r="C33" s="479">
        <f>C27-C28-C29-C30+C31-C32</f>
        <v>-1.4479155652225018E-9</v>
      </c>
      <c r="E33" s="466"/>
      <c r="F33" s="466"/>
    </row>
  </sheetData>
  <printOptions horizontalCentered="1" vertic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zoomScaleNormal="100" workbookViewId="0">
      <selection activeCell="H4" sqref="H4"/>
    </sheetView>
  </sheetViews>
  <sheetFormatPr defaultRowHeight="15" x14ac:dyDescent="0.25"/>
  <cols>
    <col min="1" max="1" width="4.5703125" bestFit="1" customWidth="1"/>
    <col min="2" max="2" width="4.42578125" bestFit="1" customWidth="1"/>
    <col min="3" max="3" width="12.7109375" bestFit="1" customWidth="1"/>
    <col min="4" max="4" width="54.85546875" bestFit="1" customWidth="1"/>
    <col min="5" max="5" width="5.28515625" bestFit="1" customWidth="1"/>
    <col min="6" max="6" width="22.140625" bestFit="1" customWidth="1"/>
    <col min="7" max="7" width="6" bestFit="1" customWidth="1"/>
    <col min="8" max="8" width="25.7109375" bestFit="1" customWidth="1"/>
    <col min="9" max="9" width="7.5703125" bestFit="1" customWidth="1"/>
    <col min="10" max="10" width="7.5703125" customWidth="1"/>
    <col min="11" max="11" width="20" style="64" bestFit="1" customWidth="1"/>
    <col min="12" max="16" width="20" customWidth="1"/>
  </cols>
  <sheetData>
    <row r="1" spans="1:20" ht="34.5" x14ac:dyDescent="0.25">
      <c r="A1" t="s">
        <v>150</v>
      </c>
      <c r="B1" t="s">
        <v>151</v>
      </c>
      <c r="C1" s="111" t="s">
        <v>376</v>
      </c>
      <c r="D1" t="s">
        <v>383</v>
      </c>
      <c r="E1" s="111" t="s">
        <v>377</v>
      </c>
      <c r="F1" s="111" t="s">
        <v>379</v>
      </c>
      <c r="G1" s="111" t="s">
        <v>378</v>
      </c>
      <c r="H1" s="111" t="s">
        <v>380</v>
      </c>
      <c r="I1" s="111" t="s">
        <v>382</v>
      </c>
      <c r="J1" s="111" t="s">
        <v>381</v>
      </c>
      <c r="K1" s="64" t="s">
        <v>267</v>
      </c>
      <c r="L1" s="111" t="s">
        <v>220</v>
      </c>
      <c r="M1" s="111" t="s">
        <v>221</v>
      </c>
      <c r="N1" s="111" t="s">
        <v>222</v>
      </c>
      <c r="O1" s="111" t="s">
        <v>223</v>
      </c>
      <c r="P1" s="111" t="s">
        <v>268</v>
      </c>
      <c r="Q1" s="112" t="s">
        <v>219</v>
      </c>
      <c r="R1" s="112" t="s">
        <v>224</v>
      </c>
      <c r="S1" s="492" t="s">
        <v>695</v>
      </c>
      <c r="T1" s="492" t="s">
        <v>696</v>
      </c>
    </row>
    <row r="5" spans="1:20" s="65" customFormat="1" x14ac:dyDescent="0.25">
      <c r="D5" s="66" t="s">
        <v>68</v>
      </c>
      <c r="E5" s="66"/>
      <c r="F5" s="66"/>
      <c r="G5" s="66"/>
      <c r="H5" s="66"/>
      <c r="I5" s="68" t="s">
        <v>152</v>
      </c>
      <c r="J5" s="68"/>
      <c r="K5" s="67">
        <f>SUM(K2:K4)</f>
        <v>0</v>
      </c>
      <c r="L5" s="67">
        <f t="shared" ref="L5:P5" si="0">SUM(L2:L4)</f>
        <v>0</v>
      </c>
      <c r="M5" s="67">
        <f t="shared" si="0"/>
        <v>0</v>
      </c>
      <c r="N5" s="67">
        <f t="shared" si="0"/>
        <v>0</v>
      </c>
      <c r="O5" s="67">
        <f t="shared" si="0"/>
        <v>0</v>
      </c>
      <c r="P5" s="67">
        <f t="shared" si="0"/>
        <v>0</v>
      </c>
      <c r="Q5" s="89">
        <v>0</v>
      </c>
      <c r="R5" s="89">
        <v>0</v>
      </c>
    </row>
    <row r="6" spans="1:20" x14ac:dyDescent="0.25">
      <c r="D6" s="69"/>
      <c r="E6" s="69"/>
      <c r="F6" s="69"/>
      <c r="G6" s="69"/>
      <c r="H6" s="69"/>
      <c r="I6" s="69"/>
      <c r="J6" s="69"/>
      <c r="K6" s="70"/>
    </row>
    <row r="7" spans="1:20" x14ac:dyDescent="0.25">
      <c r="D7" s="69"/>
      <c r="E7" s="69"/>
      <c r="F7" s="69"/>
      <c r="G7" s="69"/>
      <c r="H7" s="69"/>
      <c r="I7" s="69"/>
      <c r="J7" s="69"/>
      <c r="K7" s="70"/>
    </row>
    <row r="8" spans="1:20" s="504" customFormat="1" ht="14.25" x14ac:dyDescent="0.2">
      <c r="A8" s="500">
        <v>11</v>
      </c>
      <c r="B8" s="500">
        <v>0</v>
      </c>
      <c r="C8" s="500" t="s">
        <v>715</v>
      </c>
      <c r="D8" s="500" t="s">
        <v>716</v>
      </c>
      <c r="E8" s="500"/>
      <c r="F8" s="500"/>
      <c r="G8" s="500"/>
      <c r="H8" s="500"/>
      <c r="I8" s="501" t="s">
        <v>153</v>
      </c>
      <c r="J8" s="501" t="s">
        <v>552</v>
      </c>
      <c r="K8" s="502">
        <v>12018.6</v>
      </c>
      <c r="L8" s="502">
        <v>275000</v>
      </c>
      <c r="M8" s="502">
        <v>276180.15000000002</v>
      </c>
      <c r="N8" s="502">
        <v>0</v>
      </c>
      <c r="O8" s="502">
        <v>0</v>
      </c>
      <c r="P8" s="502">
        <f>K8+L8-M8+N8-O8</f>
        <v>10838.449999999953</v>
      </c>
      <c r="Q8" s="503"/>
    </row>
    <row r="9" spans="1:20" s="504" customFormat="1" ht="14.25" x14ac:dyDescent="0.2">
      <c r="A9" s="500">
        <v>13</v>
      </c>
      <c r="B9" s="500">
        <v>0</v>
      </c>
      <c r="C9" s="500" t="s">
        <v>717</v>
      </c>
      <c r="D9" s="500" t="s">
        <v>718</v>
      </c>
      <c r="E9" s="500"/>
      <c r="F9" s="500"/>
      <c r="G9" s="500"/>
      <c r="H9" s="500"/>
      <c r="I9" s="501" t="s">
        <v>153</v>
      </c>
      <c r="J9" s="501" t="s">
        <v>552</v>
      </c>
      <c r="K9" s="502">
        <v>28609.62</v>
      </c>
      <c r="L9" s="502">
        <v>26000</v>
      </c>
      <c r="M9" s="502">
        <v>49416.07</v>
      </c>
      <c r="N9" s="502">
        <v>513.41999999999996</v>
      </c>
      <c r="O9" s="502">
        <v>0</v>
      </c>
      <c r="P9" s="502">
        <f>K9+L9-M9+N9-O9</f>
        <v>5706.9699999999957</v>
      </c>
      <c r="Q9" s="503"/>
    </row>
    <row r="10" spans="1:20" s="504" customFormat="1" ht="14.25" x14ac:dyDescent="0.2">
      <c r="A10" s="500">
        <v>46</v>
      </c>
      <c r="B10" s="500">
        <v>0</v>
      </c>
      <c r="C10" s="500" t="s">
        <v>719</v>
      </c>
      <c r="D10" s="500" t="s">
        <v>720</v>
      </c>
      <c r="E10" s="500"/>
      <c r="F10" s="500"/>
      <c r="G10" s="500"/>
      <c r="H10" s="500"/>
      <c r="I10" s="501" t="s">
        <v>153</v>
      </c>
      <c r="J10" s="501" t="s">
        <v>552</v>
      </c>
      <c r="K10" s="502">
        <v>2373.81</v>
      </c>
      <c r="L10" s="502">
        <v>75000</v>
      </c>
      <c r="M10" s="502">
        <v>69137.64</v>
      </c>
      <c r="N10" s="502">
        <v>0.3</v>
      </c>
      <c r="O10" s="502">
        <v>0</v>
      </c>
      <c r="P10" s="502">
        <f>K10+L10-M10+N10-O10</f>
        <v>8236.4699999999975</v>
      </c>
      <c r="Q10" s="503"/>
    </row>
    <row r="11" spans="1:20" s="504" customFormat="1" ht="14.25" x14ac:dyDescent="0.2">
      <c r="A11" s="500">
        <v>70</v>
      </c>
      <c r="B11" s="500">
        <v>0</v>
      </c>
      <c r="C11" s="500" t="s">
        <v>721</v>
      </c>
      <c r="D11" s="500" t="s">
        <v>722</v>
      </c>
      <c r="E11" s="500"/>
      <c r="F11" s="500"/>
      <c r="G11" s="500"/>
      <c r="H11" s="500"/>
      <c r="I11" s="501" t="s">
        <v>153</v>
      </c>
      <c r="J11" s="501" t="s">
        <v>552</v>
      </c>
      <c r="K11" s="502">
        <v>11566.12</v>
      </c>
      <c r="L11" s="502">
        <v>78000</v>
      </c>
      <c r="M11" s="502">
        <v>76247.98</v>
      </c>
      <c r="N11" s="502">
        <v>0</v>
      </c>
      <c r="O11" s="502">
        <v>0</v>
      </c>
      <c r="P11" s="502">
        <f>K11+L11-M11+N11-O11</f>
        <v>13318.14</v>
      </c>
      <c r="Q11" s="503"/>
    </row>
    <row r="12" spans="1:20" s="504" customFormat="1" ht="14.25" x14ac:dyDescent="0.2">
      <c r="A12" s="500">
        <v>48</v>
      </c>
      <c r="B12" s="500">
        <v>0</v>
      </c>
      <c r="C12" s="500" t="s">
        <v>723</v>
      </c>
      <c r="D12" s="500" t="s">
        <v>724</v>
      </c>
      <c r="E12" s="500"/>
      <c r="F12" s="500"/>
      <c r="G12" s="500"/>
      <c r="H12" s="500"/>
      <c r="I12" s="501" t="s">
        <v>153</v>
      </c>
      <c r="J12" s="501" t="s">
        <v>552</v>
      </c>
      <c r="K12" s="502">
        <v>0</v>
      </c>
      <c r="L12" s="502">
        <v>538.51</v>
      </c>
      <c r="M12" s="502">
        <v>538.51</v>
      </c>
      <c r="N12" s="502">
        <v>0</v>
      </c>
      <c r="O12" s="502">
        <v>0</v>
      </c>
      <c r="P12" s="502">
        <f>K12+L12-M12+N12-O12</f>
        <v>0</v>
      </c>
      <c r="Q12" s="503"/>
    </row>
    <row r="13" spans="1:20" x14ac:dyDescent="0.25">
      <c r="D13" s="69"/>
      <c r="E13" s="69"/>
      <c r="F13" s="69"/>
      <c r="G13" s="69"/>
      <c r="H13" s="69"/>
      <c r="I13" s="69"/>
      <c r="J13" s="69"/>
      <c r="K13" s="70"/>
    </row>
    <row r="14" spans="1:20" x14ac:dyDescent="0.25">
      <c r="D14" s="66" t="s">
        <v>69</v>
      </c>
      <c r="E14" s="66"/>
      <c r="F14" s="66"/>
      <c r="G14" s="66"/>
      <c r="H14" s="66"/>
      <c r="I14" s="68" t="s">
        <v>153</v>
      </c>
      <c r="J14" s="68"/>
      <c r="K14" s="67">
        <f>SUM(K6:K13)</f>
        <v>54568.15</v>
      </c>
      <c r="L14" s="67">
        <f t="shared" ref="L14:P14" si="1">SUM(L6:L13)</f>
        <v>454538.51</v>
      </c>
      <c r="M14" s="67">
        <f t="shared" si="1"/>
        <v>471520.35000000003</v>
      </c>
      <c r="N14" s="67">
        <f t="shared" si="1"/>
        <v>513.71999999999991</v>
      </c>
      <c r="O14" s="67">
        <f t="shared" si="1"/>
        <v>0</v>
      </c>
      <c r="P14" s="67">
        <f t="shared" si="1"/>
        <v>38100.029999999941</v>
      </c>
      <c r="Q14" s="89">
        <f>Altre!C68</f>
        <v>6178.91</v>
      </c>
      <c r="R14" s="89">
        <f>Altre!E68</f>
        <v>2932.98</v>
      </c>
      <c r="S14" s="493">
        <f>Altre!C61</f>
        <v>0</v>
      </c>
      <c r="T14" s="493">
        <f>Altre!D61</f>
        <v>0</v>
      </c>
    </row>
    <row r="15" spans="1:20" x14ac:dyDescent="0.25">
      <c r="D15" s="69"/>
      <c r="E15" s="69"/>
      <c r="F15" s="69"/>
      <c r="G15" s="69"/>
      <c r="H15" s="69"/>
      <c r="I15" s="69"/>
      <c r="J15" s="69"/>
      <c r="K15" s="70"/>
    </row>
    <row r="16" spans="1:20" x14ac:dyDescent="0.25">
      <c r="D16" s="69"/>
      <c r="E16" s="69"/>
      <c r="F16" s="69"/>
      <c r="G16" s="69"/>
      <c r="H16" s="69"/>
      <c r="I16" s="69"/>
      <c r="J16" s="69"/>
      <c r="K16" s="70"/>
    </row>
    <row r="17" spans="1:18" x14ac:dyDescent="0.25">
      <c r="D17" s="69"/>
      <c r="E17" s="69"/>
      <c r="F17" s="69"/>
      <c r="G17" s="69"/>
      <c r="H17" s="69"/>
      <c r="I17" s="69"/>
      <c r="J17" s="69"/>
      <c r="K17" s="70"/>
    </row>
    <row r="18" spans="1:18" x14ac:dyDescent="0.25">
      <c r="D18" s="66" t="s">
        <v>70</v>
      </c>
      <c r="E18" s="66"/>
      <c r="F18" s="66"/>
      <c r="G18" s="66"/>
      <c r="H18" s="66"/>
      <c r="I18" s="68" t="s">
        <v>154</v>
      </c>
      <c r="J18" s="68"/>
      <c r="K18" s="67">
        <f>SUM(K15:K17)</f>
        <v>0</v>
      </c>
      <c r="L18" s="67">
        <f t="shared" ref="L18:P18" si="2">SUM(L15:L17)</f>
        <v>0</v>
      </c>
      <c r="M18" s="67">
        <f t="shared" si="2"/>
        <v>0</v>
      </c>
      <c r="N18" s="67">
        <f t="shared" si="2"/>
        <v>0</v>
      </c>
      <c r="O18" s="67">
        <f t="shared" si="2"/>
        <v>0</v>
      </c>
      <c r="P18" s="67">
        <f t="shared" si="2"/>
        <v>0</v>
      </c>
      <c r="Q18" s="89">
        <v>0</v>
      </c>
      <c r="R18" s="89">
        <v>0</v>
      </c>
    </row>
    <row r="19" spans="1:18" x14ac:dyDescent="0.25">
      <c r="D19" s="69"/>
      <c r="E19" s="69"/>
      <c r="F19" s="69"/>
      <c r="G19" s="69"/>
      <c r="H19" s="69"/>
      <c r="I19" s="69"/>
      <c r="J19" s="69"/>
      <c r="K19" s="70"/>
    </row>
    <row r="20" spans="1:18" x14ac:dyDescent="0.25">
      <c r="D20" s="69"/>
      <c r="E20" s="69"/>
      <c r="F20" s="69"/>
      <c r="G20" s="69"/>
      <c r="H20" s="69"/>
      <c r="I20" s="69"/>
      <c r="J20" s="69"/>
      <c r="K20" s="70"/>
    </row>
    <row r="21" spans="1:18" s="504" customFormat="1" ht="14.25" x14ac:dyDescent="0.2">
      <c r="A21" s="500">
        <v>82</v>
      </c>
      <c r="B21" s="500">
        <v>0</v>
      </c>
      <c r="C21" s="500" t="s">
        <v>725</v>
      </c>
      <c r="D21" s="500" t="s">
        <v>726</v>
      </c>
      <c r="E21" s="500"/>
      <c r="F21" s="500"/>
      <c r="G21" s="500"/>
      <c r="H21" s="500"/>
      <c r="I21" s="501" t="s">
        <v>155</v>
      </c>
      <c r="J21" s="501" t="s">
        <v>551</v>
      </c>
      <c r="K21" s="502">
        <v>0</v>
      </c>
      <c r="L21" s="502">
        <v>7668.12</v>
      </c>
      <c r="M21" s="502">
        <v>7668.12</v>
      </c>
      <c r="N21" s="502">
        <v>0</v>
      </c>
      <c r="O21" s="502">
        <v>0</v>
      </c>
      <c r="P21" s="502">
        <f t="shared" ref="P21:P40" si="3">K21+L21-M21+N21-O21</f>
        <v>0</v>
      </c>
      <c r="Q21" s="503"/>
    </row>
    <row r="22" spans="1:18" s="504" customFormat="1" ht="14.25" x14ac:dyDescent="0.2">
      <c r="A22" s="500">
        <v>90</v>
      </c>
      <c r="B22" s="500">
        <v>0</v>
      </c>
      <c r="C22" s="500" t="s">
        <v>727</v>
      </c>
      <c r="D22" s="500" t="s">
        <v>728</v>
      </c>
      <c r="E22" s="500"/>
      <c r="F22" s="500"/>
      <c r="G22" s="500"/>
      <c r="H22" s="500"/>
      <c r="I22" s="501" t="s">
        <v>155</v>
      </c>
      <c r="J22" s="501" t="s">
        <v>551</v>
      </c>
      <c r="K22" s="502">
        <v>0</v>
      </c>
      <c r="L22" s="502">
        <v>29803.32</v>
      </c>
      <c r="M22" s="502">
        <v>29803.32</v>
      </c>
      <c r="N22" s="502">
        <v>0</v>
      </c>
      <c r="O22" s="502">
        <v>0</v>
      </c>
      <c r="P22" s="502">
        <f t="shared" si="3"/>
        <v>0</v>
      </c>
      <c r="Q22" s="503"/>
    </row>
    <row r="23" spans="1:18" s="504" customFormat="1" ht="14.25" x14ac:dyDescent="0.2">
      <c r="A23" s="500">
        <v>113</v>
      </c>
      <c r="B23" s="500">
        <v>0</v>
      </c>
      <c r="C23" s="500" t="s">
        <v>727</v>
      </c>
      <c r="D23" s="500" t="s">
        <v>729</v>
      </c>
      <c r="E23" s="500"/>
      <c r="F23" s="500"/>
      <c r="G23" s="500"/>
      <c r="H23" s="500"/>
      <c r="I23" s="501" t="s">
        <v>155</v>
      </c>
      <c r="J23" s="501" t="s">
        <v>551</v>
      </c>
      <c r="K23" s="502">
        <v>15000</v>
      </c>
      <c r="L23" s="502">
        <v>52729</v>
      </c>
      <c r="M23" s="502">
        <v>67729</v>
      </c>
      <c r="N23" s="502">
        <v>0</v>
      </c>
      <c r="O23" s="502">
        <v>0</v>
      </c>
      <c r="P23" s="502">
        <f t="shared" si="3"/>
        <v>0</v>
      </c>
      <c r="Q23" s="503"/>
    </row>
    <row r="24" spans="1:18" s="504" customFormat="1" ht="14.25" x14ac:dyDescent="0.2">
      <c r="A24" s="500">
        <v>112</v>
      </c>
      <c r="B24" s="500">
        <v>0</v>
      </c>
      <c r="C24" s="500" t="s">
        <v>730</v>
      </c>
      <c r="D24" s="500" t="s">
        <v>731</v>
      </c>
      <c r="E24" s="500"/>
      <c r="F24" s="500"/>
      <c r="G24" s="500"/>
      <c r="H24" s="500"/>
      <c r="I24" s="501" t="s">
        <v>155</v>
      </c>
      <c r="J24" s="501" t="s">
        <v>551</v>
      </c>
      <c r="K24" s="502">
        <v>9100</v>
      </c>
      <c r="L24" s="502">
        <v>0</v>
      </c>
      <c r="M24" s="502">
        <v>9100</v>
      </c>
      <c r="N24" s="502">
        <v>0</v>
      </c>
      <c r="O24" s="502">
        <v>0</v>
      </c>
      <c r="P24" s="502">
        <f t="shared" si="3"/>
        <v>0</v>
      </c>
      <c r="Q24" s="503"/>
    </row>
    <row r="25" spans="1:18" s="504" customFormat="1" ht="14.25" x14ac:dyDescent="0.2">
      <c r="A25" s="500">
        <v>155</v>
      </c>
      <c r="B25" s="500">
        <v>0</v>
      </c>
      <c r="C25" s="500" t="s">
        <v>732</v>
      </c>
      <c r="D25" s="500" t="s">
        <v>733</v>
      </c>
      <c r="E25" s="500"/>
      <c r="F25" s="500"/>
      <c r="G25" s="500"/>
      <c r="H25" s="500"/>
      <c r="I25" s="501" t="s">
        <v>155</v>
      </c>
      <c r="J25" s="501" t="s">
        <v>551</v>
      </c>
      <c r="K25" s="502">
        <v>0</v>
      </c>
      <c r="L25" s="502">
        <v>2527</v>
      </c>
      <c r="M25" s="502">
        <v>0</v>
      </c>
      <c r="N25" s="502">
        <v>0</v>
      </c>
      <c r="O25" s="502">
        <v>0</v>
      </c>
      <c r="P25" s="502">
        <f t="shared" si="3"/>
        <v>2527</v>
      </c>
      <c r="Q25" s="503"/>
    </row>
    <row r="26" spans="1:18" s="504" customFormat="1" ht="14.25" x14ac:dyDescent="0.2">
      <c r="A26" s="500">
        <v>344</v>
      </c>
      <c r="B26" s="500">
        <v>0</v>
      </c>
      <c r="C26" s="500" t="s">
        <v>760</v>
      </c>
      <c r="D26" s="500" t="s">
        <v>761</v>
      </c>
      <c r="E26" s="500"/>
      <c r="F26" s="500"/>
      <c r="G26" s="500"/>
      <c r="H26" s="500"/>
      <c r="I26" s="501" t="s">
        <v>155</v>
      </c>
      <c r="J26" s="506" t="s">
        <v>554</v>
      </c>
      <c r="K26" s="502">
        <v>7030</v>
      </c>
      <c r="L26" s="502">
        <v>0</v>
      </c>
      <c r="M26" s="502">
        <v>0</v>
      </c>
      <c r="N26" s="502">
        <v>0</v>
      </c>
      <c r="O26" s="502">
        <v>0</v>
      </c>
      <c r="P26" s="502">
        <f t="shared" si="3"/>
        <v>7030</v>
      </c>
      <c r="Q26" s="503"/>
    </row>
    <row r="27" spans="1:18" s="504" customFormat="1" ht="14.25" x14ac:dyDescent="0.2">
      <c r="A27" s="500">
        <v>378</v>
      </c>
      <c r="B27" s="500">
        <v>0</v>
      </c>
      <c r="C27" s="500" t="s">
        <v>760</v>
      </c>
      <c r="D27" s="500" t="s">
        <v>762</v>
      </c>
      <c r="E27" s="500"/>
      <c r="F27" s="500"/>
      <c r="G27" s="500"/>
      <c r="H27" s="500"/>
      <c r="I27" s="501" t="s">
        <v>155</v>
      </c>
      <c r="J27" s="506" t="s">
        <v>554</v>
      </c>
      <c r="K27" s="502">
        <v>1000</v>
      </c>
      <c r="L27" s="502">
        <v>0</v>
      </c>
      <c r="M27" s="502">
        <v>0</v>
      </c>
      <c r="N27" s="502">
        <v>0</v>
      </c>
      <c r="O27" s="502">
        <v>0</v>
      </c>
      <c r="P27" s="502">
        <f t="shared" si="3"/>
        <v>1000</v>
      </c>
      <c r="Q27" s="503"/>
    </row>
    <row r="28" spans="1:18" s="504" customFormat="1" ht="14.25" x14ac:dyDescent="0.2">
      <c r="A28" s="500">
        <v>397</v>
      </c>
      <c r="B28" s="500">
        <v>0</v>
      </c>
      <c r="C28" s="500" t="s">
        <v>760</v>
      </c>
      <c r="D28" s="500" t="s">
        <v>763</v>
      </c>
      <c r="E28" s="500"/>
      <c r="F28" s="500"/>
      <c r="G28" s="500"/>
      <c r="H28" s="500"/>
      <c r="I28" s="501" t="s">
        <v>155</v>
      </c>
      <c r="J28" s="506" t="s">
        <v>554</v>
      </c>
      <c r="K28" s="502">
        <v>194432.62</v>
      </c>
      <c r="L28" s="502">
        <v>0</v>
      </c>
      <c r="M28" s="502">
        <v>77759.14</v>
      </c>
      <c r="N28" s="502">
        <v>0</v>
      </c>
      <c r="O28" s="502">
        <v>0</v>
      </c>
      <c r="P28" s="502">
        <f t="shared" si="3"/>
        <v>116673.48</v>
      </c>
      <c r="Q28" s="503"/>
    </row>
    <row r="29" spans="1:18" s="504" customFormat="1" ht="14.25" x14ac:dyDescent="0.2">
      <c r="A29" s="500">
        <v>452</v>
      </c>
      <c r="B29" s="500">
        <v>0</v>
      </c>
      <c r="C29" s="500" t="s">
        <v>760</v>
      </c>
      <c r="D29" s="500" t="s">
        <v>764</v>
      </c>
      <c r="E29" s="500"/>
      <c r="F29" s="500"/>
      <c r="G29" s="500"/>
      <c r="H29" s="500"/>
      <c r="I29" s="501" t="s">
        <v>155</v>
      </c>
      <c r="J29" s="506" t="s">
        <v>554</v>
      </c>
      <c r="K29" s="502">
        <v>0</v>
      </c>
      <c r="L29" s="502">
        <v>33000</v>
      </c>
      <c r="M29" s="502">
        <v>8434</v>
      </c>
      <c r="N29" s="502">
        <v>0</v>
      </c>
      <c r="O29" s="502">
        <v>0</v>
      </c>
      <c r="P29" s="502">
        <f t="shared" si="3"/>
        <v>24566</v>
      </c>
      <c r="Q29" s="503"/>
    </row>
    <row r="30" spans="1:18" s="504" customFormat="1" ht="14.25" x14ac:dyDescent="0.2">
      <c r="A30" s="500">
        <v>453</v>
      </c>
      <c r="B30" s="500">
        <v>0</v>
      </c>
      <c r="C30" s="500" t="s">
        <v>760</v>
      </c>
      <c r="D30" s="500" t="s">
        <v>765</v>
      </c>
      <c r="E30" s="500"/>
      <c r="F30" s="500"/>
      <c r="G30" s="500"/>
      <c r="H30" s="500"/>
      <c r="I30" s="501" t="s">
        <v>155</v>
      </c>
      <c r="J30" s="506" t="s">
        <v>554</v>
      </c>
      <c r="K30" s="502">
        <v>2806</v>
      </c>
      <c r="L30" s="502">
        <v>0</v>
      </c>
      <c r="M30" s="502">
        <v>0</v>
      </c>
      <c r="N30" s="502">
        <v>0</v>
      </c>
      <c r="O30" s="502">
        <v>0</v>
      </c>
      <c r="P30" s="502">
        <f t="shared" si="3"/>
        <v>2806</v>
      </c>
      <c r="Q30" s="503"/>
    </row>
    <row r="31" spans="1:18" s="504" customFormat="1" ht="14.25" x14ac:dyDescent="0.2">
      <c r="A31" s="500">
        <v>1128</v>
      </c>
      <c r="B31" s="500">
        <v>0</v>
      </c>
      <c r="C31" s="500" t="s">
        <v>760</v>
      </c>
      <c r="D31" s="500" t="s">
        <v>766</v>
      </c>
      <c r="E31" s="500"/>
      <c r="F31" s="500"/>
      <c r="G31" s="500"/>
      <c r="H31" s="500"/>
      <c r="I31" s="501" t="s">
        <v>155</v>
      </c>
      <c r="J31" s="506" t="s">
        <v>554</v>
      </c>
      <c r="K31" s="502">
        <v>71190.8</v>
      </c>
      <c r="L31" s="502">
        <v>0</v>
      </c>
      <c r="M31" s="502">
        <v>41252.85</v>
      </c>
      <c r="N31" s="502">
        <v>0</v>
      </c>
      <c r="O31" s="502">
        <v>0</v>
      </c>
      <c r="P31" s="502">
        <f t="shared" si="3"/>
        <v>29937.950000000004</v>
      </c>
      <c r="Q31" s="503"/>
    </row>
    <row r="32" spans="1:18" s="504" customFormat="1" ht="14.25" x14ac:dyDescent="0.2">
      <c r="A32" s="500">
        <v>1131</v>
      </c>
      <c r="B32" s="500">
        <v>0</v>
      </c>
      <c r="C32" s="500" t="s">
        <v>760</v>
      </c>
      <c r="D32" s="500" t="s">
        <v>767</v>
      </c>
      <c r="E32" s="500"/>
      <c r="F32" s="500"/>
      <c r="G32" s="500"/>
      <c r="H32" s="500"/>
      <c r="I32" s="501" t="s">
        <v>155</v>
      </c>
      <c r="J32" s="506" t="s">
        <v>554</v>
      </c>
      <c r="K32" s="502">
        <v>100650</v>
      </c>
      <c r="L32" s="502">
        <v>0</v>
      </c>
      <c r="M32" s="502">
        <v>50000</v>
      </c>
      <c r="N32" s="502">
        <v>0</v>
      </c>
      <c r="O32" s="502">
        <v>0</v>
      </c>
      <c r="P32" s="502">
        <f t="shared" si="3"/>
        <v>50650</v>
      </c>
      <c r="Q32" s="503"/>
    </row>
    <row r="33" spans="1:18" s="504" customFormat="1" ht="14.25" x14ac:dyDescent="0.2">
      <c r="A33" s="500">
        <v>399</v>
      </c>
      <c r="B33" s="500">
        <v>0</v>
      </c>
      <c r="C33" s="500" t="s">
        <v>768</v>
      </c>
      <c r="D33" s="500" t="s">
        <v>769</v>
      </c>
      <c r="E33" s="500"/>
      <c r="F33" s="500"/>
      <c r="G33" s="500"/>
      <c r="H33" s="500"/>
      <c r="I33" s="501" t="s">
        <v>155</v>
      </c>
      <c r="J33" s="506" t="s">
        <v>554</v>
      </c>
      <c r="K33" s="502">
        <v>7980</v>
      </c>
      <c r="L33" s="502">
        <v>0</v>
      </c>
      <c r="M33" s="502">
        <v>7340</v>
      </c>
      <c r="N33" s="502">
        <v>0</v>
      </c>
      <c r="O33" s="502">
        <v>640</v>
      </c>
      <c r="P33" s="502">
        <f t="shared" si="3"/>
        <v>0</v>
      </c>
      <c r="Q33" s="503"/>
    </row>
    <row r="34" spans="1:18" s="504" customFormat="1" ht="14.25" x14ac:dyDescent="0.2">
      <c r="A34" s="500">
        <v>403</v>
      </c>
      <c r="B34" s="500">
        <v>0</v>
      </c>
      <c r="C34" s="500" t="s">
        <v>768</v>
      </c>
      <c r="D34" s="500" t="s">
        <v>770</v>
      </c>
      <c r="E34" s="500"/>
      <c r="F34" s="500"/>
      <c r="G34" s="500"/>
      <c r="H34" s="500"/>
      <c r="I34" s="501" t="s">
        <v>155</v>
      </c>
      <c r="J34" s="506" t="s">
        <v>554</v>
      </c>
      <c r="K34" s="502">
        <v>21960</v>
      </c>
      <c r="L34" s="502">
        <v>0</v>
      </c>
      <c r="M34" s="502">
        <v>0</v>
      </c>
      <c r="N34" s="502">
        <v>0</v>
      </c>
      <c r="O34" s="502">
        <v>0</v>
      </c>
      <c r="P34" s="502">
        <f t="shared" si="3"/>
        <v>21960</v>
      </c>
      <c r="Q34" s="503"/>
    </row>
    <row r="35" spans="1:18" s="504" customFormat="1" ht="14.25" x14ac:dyDescent="0.2">
      <c r="A35" s="500">
        <v>444</v>
      </c>
      <c r="B35" s="500">
        <v>0</v>
      </c>
      <c r="C35" s="500" t="s">
        <v>768</v>
      </c>
      <c r="D35" s="500" t="s">
        <v>771</v>
      </c>
      <c r="E35" s="500"/>
      <c r="F35" s="500"/>
      <c r="G35" s="500"/>
      <c r="H35" s="500"/>
      <c r="I35" s="501" t="s">
        <v>155</v>
      </c>
      <c r="J35" s="506" t="s">
        <v>554</v>
      </c>
      <c r="K35" s="502">
        <v>175000</v>
      </c>
      <c r="L35" s="502">
        <v>0</v>
      </c>
      <c r="M35" s="502">
        <v>75000</v>
      </c>
      <c r="N35" s="502">
        <v>0</v>
      </c>
      <c r="O35" s="502">
        <v>0</v>
      </c>
      <c r="P35" s="502">
        <f t="shared" si="3"/>
        <v>100000</v>
      </c>
      <c r="Q35" s="503"/>
    </row>
    <row r="36" spans="1:18" s="504" customFormat="1" ht="14.25" x14ac:dyDescent="0.2">
      <c r="A36" s="500">
        <v>451</v>
      </c>
      <c r="B36" s="500">
        <v>0</v>
      </c>
      <c r="C36" s="500" t="s">
        <v>768</v>
      </c>
      <c r="D36" s="500" t="s">
        <v>772</v>
      </c>
      <c r="E36" s="500"/>
      <c r="F36" s="500"/>
      <c r="G36" s="500"/>
      <c r="H36" s="500"/>
      <c r="I36" s="501" t="s">
        <v>155</v>
      </c>
      <c r="J36" s="506" t="s">
        <v>554</v>
      </c>
      <c r="K36" s="502">
        <v>14288.11</v>
      </c>
      <c r="L36" s="502">
        <v>0</v>
      </c>
      <c r="M36" s="502">
        <v>12564.49</v>
      </c>
      <c r="N36" s="502">
        <v>0</v>
      </c>
      <c r="O36" s="502">
        <v>1723.62</v>
      </c>
      <c r="P36" s="502">
        <f t="shared" si="3"/>
        <v>0</v>
      </c>
      <c r="Q36" s="503"/>
    </row>
    <row r="37" spans="1:18" s="504" customFormat="1" ht="14.25" x14ac:dyDescent="0.2">
      <c r="A37" s="500">
        <v>443</v>
      </c>
      <c r="B37" s="500">
        <v>0</v>
      </c>
      <c r="C37" s="500" t="s">
        <v>773</v>
      </c>
      <c r="D37" s="500" t="s">
        <v>774</v>
      </c>
      <c r="E37" s="500"/>
      <c r="F37" s="500"/>
      <c r="G37" s="500"/>
      <c r="H37" s="500"/>
      <c r="I37" s="501" t="s">
        <v>155</v>
      </c>
      <c r="J37" s="506" t="s">
        <v>554</v>
      </c>
      <c r="K37" s="502">
        <v>20000</v>
      </c>
      <c r="L37" s="502">
        <v>0</v>
      </c>
      <c r="M37" s="502">
        <v>20000</v>
      </c>
      <c r="N37" s="502">
        <v>0</v>
      </c>
      <c r="O37" s="502">
        <v>0</v>
      </c>
      <c r="P37" s="502">
        <f t="shared" si="3"/>
        <v>0</v>
      </c>
      <c r="Q37" s="503"/>
    </row>
    <row r="38" spans="1:18" s="504" customFormat="1" ht="14.25" x14ac:dyDescent="0.2">
      <c r="A38" s="500">
        <v>402</v>
      </c>
      <c r="B38" s="500">
        <v>0</v>
      </c>
      <c r="C38" s="500" t="s">
        <v>775</v>
      </c>
      <c r="D38" s="500" t="s">
        <v>776</v>
      </c>
      <c r="E38" s="500"/>
      <c r="F38" s="500"/>
      <c r="G38" s="500"/>
      <c r="H38" s="500"/>
      <c r="I38" s="501" t="s">
        <v>155</v>
      </c>
      <c r="J38" s="506" t="s">
        <v>554</v>
      </c>
      <c r="K38" s="502">
        <v>0</v>
      </c>
      <c r="L38" s="502">
        <v>190000</v>
      </c>
      <c r="M38" s="502">
        <v>140000</v>
      </c>
      <c r="N38" s="502">
        <v>0</v>
      </c>
      <c r="O38" s="502">
        <v>0</v>
      </c>
      <c r="P38" s="502">
        <f t="shared" si="3"/>
        <v>50000</v>
      </c>
      <c r="Q38" s="503"/>
    </row>
    <row r="39" spans="1:18" s="504" customFormat="1" ht="14.25" x14ac:dyDescent="0.2">
      <c r="A39" s="500">
        <v>431</v>
      </c>
      <c r="B39" s="500">
        <v>0</v>
      </c>
      <c r="C39" s="500" t="s">
        <v>775</v>
      </c>
      <c r="D39" s="500" t="s">
        <v>777</v>
      </c>
      <c r="E39" s="500"/>
      <c r="F39" s="500"/>
      <c r="G39" s="500"/>
      <c r="H39" s="500"/>
      <c r="I39" s="501" t="s">
        <v>155</v>
      </c>
      <c r="J39" s="506" t="s">
        <v>554</v>
      </c>
      <c r="K39" s="502">
        <v>21522</v>
      </c>
      <c r="L39" s="502">
        <v>15000</v>
      </c>
      <c r="M39" s="502">
        <v>21521.95</v>
      </c>
      <c r="N39" s="502">
        <v>0</v>
      </c>
      <c r="O39" s="502">
        <v>0.05</v>
      </c>
      <c r="P39" s="502">
        <f t="shared" si="3"/>
        <v>15000</v>
      </c>
      <c r="Q39" s="503"/>
    </row>
    <row r="40" spans="1:18" s="504" customFormat="1" ht="14.25" x14ac:dyDescent="0.2">
      <c r="A40" s="500">
        <v>435</v>
      </c>
      <c r="B40" s="500">
        <v>0</v>
      </c>
      <c r="C40" s="500" t="s">
        <v>778</v>
      </c>
      <c r="D40" s="500" t="s">
        <v>779</v>
      </c>
      <c r="E40" s="500"/>
      <c r="F40" s="500"/>
      <c r="G40" s="500"/>
      <c r="H40" s="500"/>
      <c r="I40" s="501" t="s">
        <v>155</v>
      </c>
      <c r="J40" s="501" t="s">
        <v>559</v>
      </c>
      <c r="K40" s="502">
        <v>9865.73</v>
      </c>
      <c r="L40" s="502">
        <v>6527.16</v>
      </c>
      <c r="M40" s="502">
        <v>10670.87</v>
      </c>
      <c r="N40" s="502">
        <v>0</v>
      </c>
      <c r="O40" s="502">
        <v>0</v>
      </c>
      <c r="P40" s="502">
        <f t="shared" si="3"/>
        <v>5722.0199999999986</v>
      </c>
      <c r="Q40" s="503"/>
    </row>
    <row r="41" spans="1:18" x14ac:dyDescent="0.25">
      <c r="D41" s="69"/>
      <c r="E41" s="69"/>
      <c r="F41" s="69"/>
      <c r="G41" s="69"/>
      <c r="H41" s="69"/>
      <c r="I41" s="69"/>
      <c r="J41" s="69"/>
      <c r="K41" s="70"/>
    </row>
    <row r="42" spans="1:18" s="65" customFormat="1" x14ac:dyDescent="0.25">
      <c r="D42" s="66" t="s">
        <v>156</v>
      </c>
      <c r="E42" s="66"/>
      <c r="F42" s="66"/>
      <c r="G42" s="66"/>
      <c r="H42" s="66"/>
      <c r="I42" s="68" t="s">
        <v>155</v>
      </c>
      <c r="J42" s="68"/>
      <c r="K42" s="67">
        <f>SUM(K19:K41)</f>
        <v>671825.25999999989</v>
      </c>
      <c r="L42" s="67">
        <f t="shared" ref="L42:P42" si="4">SUM(L19:L41)</f>
        <v>337254.6</v>
      </c>
      <c r="M42" s="67">
        <f t="shared" si="4"/>
        <v>578843.74</v>
      </c>
      <c r="N42" s="67">
        <f t="shared" si="4"/>
        <v>0</v>
      </c>
      <c r="O42" s="67">
        <f t="shared" si="4"/>
        <v>2363.67</v>
      </c>
      <c r="P42" s="67">
        <f t="shared" si="4"/>
        <v>427872.45</v>
      </c>
      <c r="Q42" s="89">
        <v>0</v>
      </c>
      <c r="R42" s="89">
        <v>0</v>
      </c>
    </row>
    <row r="43" spans="1:18" x14ac:dyDescent="0.25">
      <c r="D43" s="69"/>
      <c r="E43" s="69"/>
      <c r="F43" s="69"/>
      <c r="G43" s="69"/>
      <c r="H43" s="69"/>
      <c r="I43" s="69"/>
      <c r="J43" s="69"/>
      <c r="K43" s="70"/>
    </row>
    <row r="44" spans="1:18" x14ac:dyDescent="0.25">
      <c r="D44" s="69"/>
      <c r="E44" s="69"/>
      <c r="F44" s="69"/>
      <c r="G44" s="69"/>
      <c r="H44" s="69"/>
      <c r="I44" s="69"/>
      <c r="J44" s="69"/>
      <c r="K44" s="70"/>
    </row>
    <row r="45" spans="1:18" x14ac:dyDescent="0.25">
      <c r="D45" s="69"/>
      <c r="E45" s="69"/>
      <c r="F45" s="69"/>
      <c r="G45" s="69"/>
      <c r="H45" s="69"/>
      <c r="I45" s="69"/>
      <c r="J45" s="69"/>
      <c r="K45" s="70"/>
    </row>
    <row r="46" spans="1:18" x14ac:dyDescent="0.25">
      <c r="D46" s="66" t="s">
        <v>157</v>
      </c>
      <c r="E46" s="66"/>
      <c r="F46" s="66"/>
      <c r="G46" s="66"/>
      <c r="H46" s="66"/>
      <c r="I46" s="68" t="s">
        <v>158</v>
      </c>
      <c r="J46" s="68"/>
      <c r="K46" s="67">
        <f>SUM(K43:K45)</f>
        <v>0</v>
      </c>
      <c r="L46" s="67">
        <f t="shared" ref="L46:P46" si="5">SUM(L43:L45)</f>
        <v>0</v>
      </c>
      <c r="M46" s="67">
        <f t="shared" si="5"/>
        <v>0</v>
      </c>
      <c r="N46" s="67">
        <f t="shared" si="5"/>
        <v>0</v>
      </c>
      <c r="O46" s="67">
        <f t="shared" si="5"/>
        <v>0</v>
      </c>
      <c r="P46" s="67">
        <f t="shared" si="5"/>
        <v>0</v>
      </c>
      <c r="Q46" s="89">
        <v>0</v>
      </c>
      <c r="R46" s="89">
        <v>0</v>
      </c>
    </row>
    <row r="47" spans="1:18" x14ac:dyDescent="0.25">
      <c r="D47" s="69"/>
      <c r="E47" s="69"/>
      <c r="F47" s="69"/>
      <c r="G47" s="69"/>
      <c r="H47" s="69"/>
      <c r="I47" s="69"/>
      <c r="J47" s="69"/>
      <c r="K47" s="70"/>
    </row>
    <row r="48" spans="1:18" x14ac:dyDescent="0.25">
      <c r="D48" s="69"/>
      <c r="E48" s="69"/>
      <c r="F48" s="69"/>
      <c r="G48" s="69"/>
      <c r="H48" s="69"/>
      <c r="I48" s="69"/>
      <c r="J48" s="69"/>
      <c r="K48" s="70"/>
    </row>
    <row r="49" spans="1:18" x14ac:dyDescent="0.25">
      <c r="D49" s="69"/>
      <c r="E49" s="69"/>
      <c r="F49" s="69"/>
      <c r="G49" s="69"/>
      <c r="H49" s="69"/>
      <c r="I49" s="69"/>
      <c r="J49" s="69"/>
      <c r="K49" s="70"/>
    </row>
    <row r="50" spans="1:18" x14ac:dyDescent="0.25">
      <c r="D50" s="66" t="s">
        <v>159</v>
      </c>
      <c r="E50" s="66"/>
      <c r="F50" s="66"/>
      <c r="G50" s="66"/>
      <c r="H50" s="66"/>
      <c r="I50" s="68" t="s">
        <v>160</v>
      </c>
      <c r="J50" s="68"/>
      <c r="K50" s="67">
        <f>SUM(K47:K49)</f>
        <v>0</v>
      </c>
      <c r="L50" s="67">
        <f t="shared" ref="L50:P50" si="6">SUM(L47:L49)</f>
        <v>0</v>
      </c>
      <c r="M50" s="67">
        <f t="shared" si="6"/>
        <v>0</v>
      </c>
      <c r="N50" s="67">
        <f t="shared" si="6"/>
        <v>0</v>
      </c>
      <c r="O50" s="67">
        <f t="shared" si="6"/>
        <v>0</v>
      </c>
      <c r="P50" s="67">
        <f t="shared" si="6"/>
        <v>0</v>
      </c>
      <c r="Q50" s="89">
        <v>0</v>
      </c>
      <c r="R50" s="89">
        <v>0</v>
      </c>
    </row>
    <row r="51" spans="1:18" x14ac:dyDescent="0.25">
      <c r="D51" s="69"/>
      <c r="E51" s="69"/>
      <c r="F51" s="69"/>
      <c r="G51" s="69"/>
      <c r="H51" s="69"/>
      <c r="I51" s="69"/>
      <c r="J51" s="69"/>
      <c r="K51" s="70"/>
    </row>
    <row r="52" spans="1:18" x14ac:dyDescent="0.25">
      <c r="D52" s="69"/>
      <c r="E52" s="69"/>
      <c r="F52" s="69"/>
      <c r="G52" s="69"/>
      <c r="H52" s="69"/>
      <c r="I52" s="69"/>
      <c r="J52" s="69"/>
      <c r="K52" s="70"/>
    </row>
    <row r="53" spans="1:18" s="504" customFormat="1" ht="14.25" x14ac:dyDescent="0.2">
      <c r="A53" s="500">
        <v>122</v>
      </c>
      <c r="B53" s="500">
        <v>0</v>
      </c>
      <c r="C53" s="500" t="s">
        <v>734</v>
      </c>
      <c r="D53" s="500" t="s">
        <v>735</v>
      </c>
      <c r="E53" s="500"/>
      <c r="F53" s="500"/>
      <c r="G53" s="500"/>
      <c r="H53" s="500"/>
      <c r="I53" s="501" t="s">
        <v>162</v>
      </c>
      <c r="J53" s="501" t="s">
        <v>551</v>
      </c>
      <c r="K53" s="502">
        <v>5000</v>
      </c>
      <c r="L53" s="502">
        <v>0</v>
      </c>
      <c r="M53" s="502">
        <v>0</v>
      </c>
      <c r="N53" s="502">
        <v>0</v>
      </c>
      <c r="O53" s="502">
        <v>0</v>
      </c>
      <c r="P53" s="502">
        <f>K53+L53-M53+N53-O53</f>
        <v>5000</v>
      </c>
      <c r="Q53" s="503"/>
    </row>
    <row r="54" spans="1:18" x14ac:dyDescent="0.25">
      <c r="D54" s="69"/>
      <c r="E54" s="69"/>
      <c r="F54" s="69"/>
      <c r="G54" s="69"/>
      <c r="H54" s="69"/>
      <c r="I54" s="69"/>
      <c r="J54" s="69"/>
      <c r="K54" s="70"/>
    </row>
    <row r="55" spans="1:18" x14ac:dyDescent="0.25">
      <c r="D55" s="66" t="s">
        <v>161</v>
      </c>
      <c r="E55" s="66"/>
      <c r="F55" s="66"/>
      <c r="G55" s="66"/>
      <c r="H55" s="66"/>
      <c r="I55" s="68" t="s">
        <v>162</v>
      </c>
      <c r="J55" s="68"/>
      <c r="K55" s="67">
        <f>SUM(K51:K54)</f>
        <v>5000</v>
      </c>
      <c r="L55" s="67">
        <f t="shared" ref="L55:P55" si="7">SUM(L51:L54)</f>
        <v>0</v>
      </c>
      <c r="M55" s="67">
        <f t="shared" si="7"/>
        <v>0</v>
      </c>
      <c r="N55" s="67">
        <f t="shared" si="7"/>
        <v>0</v>
      </c>
      <c r="O55" s="67">
        <f t="shared" si="7"/>
        <v>0</v>
      </c>
      <c r="P55" s="67">
        <f t="shared" si="7"/>
        <v>5000</v>
      </c>
      <c r="Q55" s="89">
        <v>0</v>
      </c>
      <c r="R55" s="89">
        <v>0</v>
      </c>
    </row>
    <row r="56" spans="1:18" x14ac:dyDescent="0.25">
      <c r="D56" s="69"/>
      <c r="E56" s="69"/>
      <c r="F56" s="69"/>
      <c r="G56" s="69"/>
      <c r="H56" s="69"/>
      <c r="I56" s="69"/>
      <c r="J56" s="69"/>
      <c r="K56" s="70"/>
    </row>
    <row r="57" spans="1:18" x14ac:dyDescent="0.25">
      <c r="D57" s="69"/>
      <c r="E57" s="69"/>
      <c r="F57" s="69"/>
      <c r="G57" s="69"/>
      <c r="H57" s="69"/>
      <c r="I57" s="69"/>
      <c r="J57" s="69"/>
      <c r="K57" s="70"/>
    </row>
    <row r="58" spans="1:18" s="504" customFormat="1" ht="14.25" x14ac:dyDescent="0.2">
      <c r="A58" s="500">
        <v>270</v>
      </c>
      <c r="B58" s="500">
        <v>0</v>
      </c>
      <c r="C58" s="500" t="s">
        <v>736</v>
      </c>
      <c r="D58" s="500" t="s">
        <v>737</v>
      </c>
      <c r="E58" s="500"/>
      <c r="F58" s="500"/>
      <c r="G58" s="500"/>
      <c r="H58" s="500"/>
      <c r="I58" s="501" t="s">
        <v>163</v>
      </c>
      <c r="J58" s="505" t="s">
        <v>549</v>
      </c>
      <c r="K58" s="502">
        <v>0</v>
      </c>
      <c r="L58" s="502">
        <v>3290</v>
      </c>
      <c r="M58" s="502">
        <v>3290</v>
      </c>
      <c r="N58" s="502">
        <v>0</v>
      </c>
      <c r="O58" s="502">
        <v>0</v>
      </c>
      <c r="P58" s="502">
        <f t="shared" ref="P58:P68" si="8">K58+L58-M58+N58-O58</f>
        <v>0</v>
      </c>
      <c r="Q58" s="503"/>
    </row>
    <row r="59" spans="1:18" s="504" customFormat="1" ht="14.25" x14ac:dyDescent="0.2">
      <c r="A59" s="500">
        <v>220</v>
      </c>
      <c r="B59" s="500">
        <v>0</v>
      </c>
      <c r="C59" s="500" t="s">
        <v>738</v>
      </c>
      <c r="D59" s="500" t="s">
        <v>739</v>
      </c>
      <c r="E59" s="500"/>
      <c r="F59" s="500"/>
      <c r="G59" s="500"/>
      <c r="H59" s="500"/>
      <c r="I59" s="501" t="s">
        <v>163</v>
      </c>
      <c r="J59" s="505" t="s">
        <v>549</v>
      </c>
      <c r="K59" s="502">
        <v>134</v>
      </c>
      <c r="L59" s="502">
        <v>2498</v>
      </c>
      <c r="M59" s="502">
        <v>2632</v>
      </c>
      <c r="N59" s="502">
        <v>0</v>
      </c>
      <c r="O59" s="502">
        <v>0</v>
      </c>
      <c r="P59" s="502">
        <f t="shared" si="8"/>
        <v>0</v>
      </c>
      <c r="Q59" s="503"/>
    </row>
    <row r="60" spans="1:18" s="504" customFormat="1" ht="14.25" x14ac:dyDescent="0.2">
      <c r="A60" s="500">
        <v>216</v>
      </c>
      <c r="B60" s="500">
        <v>0</v>
      </c>
      <c r="C60" s="500" t="s">
        <v>740</v>
      </c>
      <c r="D60" s="500" t="s">
        <v>741</v>
      </c>
      <c r="E60" s="500"/>
      <c r="F60" s="500"/>
      <c r="G60" s="500"/>
      <c r="H60" s="500"/>
      <c r="I60" s="501" t="s">
        <v>163</v>
      </c>
      <c r="J60" s="505" t="s">
        <v>549</v>
      </c>
      <c r="K60" s="502">
        <v>500</v>
      </c>
      <c r="L60" s="502">
        <v>0</v>
      </c>
      <c r="M60" s="502">
        <v>0</v>
      </c>
      <c r="N60" s="502">
        <v>0</v>
      </c>
      <c r="O60" s="502">
        <v>500</v>
      </c>
      <c r="P60" s="502">
        <f t="shared" si="8"/>
        <v>0</v>
      </c>
      <c r="Q60" s="503"/>
    </row>
    <row r="61" spans="1:18" s="504" customFormat="1" ht="14.25" x14ac:dyDescent="0.2">
      <c r="A61" s="500">
        <v>170</v>
      </c>
      <c r="B61" s="500">
        <v>0</v>
      </c>
      <c r="C61" s="500" t="s">
        <v>742</v>
      </c>
      <c r="D61" s="500" t="s">
        <v>743</v>
      </c>
      <c r="E61" s="500"/>
      <c r="F61" s="500"/>
      <c r="G61" s="500"/>
      <c r="H61" s="500"/>
      <c r="I61" s="501" t="s">
        <v>163</v>
      </c>
      <c r="J61" s="505" t="s">
        <v>549</v>
      </c>
      <c r="K61" s="502">
        <v>20.8</v>
      </c>
      <c r="L61" s="502">
        <v>265.45999999999998</v>
      </c>
      <c r="M61" s="502">
        <v>267.8</v>
      </c>
      <c r="N61" s="502">
        <v>0</v>
      </c>
      <c r="O61" s="502">
        <v>0</v>
      </c>
      <c r="P61" s="502">
        <f t="shared" si="8"/>
        <v>18.45999999999998</v>
      </c>
      <c r="Q61" s="503"/>
    </row>
    <row r="62" spans="1:18" s="504" customFormat="1" ht="14.25" x14ac:dyDescent="0.2">
      <c r="A62" s="500">
        <v>180</v>
      </c>
      <c r="B62" s="500">
        <v>0</v>
      </c>
      <c r="C62" s="500" t="s">
        <v>742</v>
      </c>
      <c r="D62" s="500" t="s">
        <v>744</v>
      </c>
      <c r="E62" s="500"/>
      <c r="F62" s="500"/>
      <c r="G62" s="500"/>
      <c r="H62" s="500"/>
      <c r="I62" s="501" t="s">
        <v>163</v>
      </c>
      <c r="J62" s="505" t="s">
        <v>549</v>
      </c>
      <c r="K62" s="502">
        <v>375</v>
      </c>
      <c r="L62" s="502">
        <v>3925</v>
      </c>
      <c r="M62" s="502">
        <v>4095</v>
      </c>
      <c r="N62" s="502">
        <v>0</v>
      </c>
      <c r="O62" s="502">
        <v>0</v>
      </c>
      <c r="P62" s="502">
        <f t="shared" si="8"/>
        <v>205</v>
      </c>
      <c r="Q62" s="503"/>
    </row>
    <row r="63" spans="1:18" s="504" customFormat="1" ht="14.25" x14ac:dyDescent="0.2">
      <c r="A63" s="500">
        <v>200</v>
      </c>
      <c r="B63" s="500">
        <v>0</v>
      </c>
      <c r="C63" s="500" t="s">
        <v>742</v>
      </c>
      <c r="D63" s="500" t="s">
        <v>745</v>
      </c>
      <c r="E63" s="500"/>
      <c r="F63" s="500"/>
      <c r="G63" s="500"/>
      <c r="H63" s="500"/>
      <c r="I63" s="501" t="s">
        <v>163</v>
      </c>
      <c r="J63" s="505" t="s">
        <v>549</v>
      </c>
      <c r="K63" s="502">
        <v>1126.5999999999999</v>
      </c>
      <c r="L63" s="502">
        <v>1853</v>
      </c>
      <c r="M63" s="502">
        <v>1350.39</v>
      </c>
      <c r="N63" s="502">
        <v>0</v>
      </c>
      <c r="O63" s="502">
        <v>0</v>
      </c>
      <c r="P63" s="502">
        <f t="shared" si="8"/>
        <v>1629.2099999999998</v>
      </c>
      <c r="Q63" s="503"/>
    </row>
    <row r="64" spans="1:18" s="504" customFormat="1" ht="14.25" x14ac:dyDescent="0.2">
      <c r="A64" s="500">
        <v>275</v>
      </c>
      <c r="B64" s="500">
        <v>0</v>
      </c>
      <c r="C64" s="500" t="s">
        <v>746</v>
      </c>
      <c r="D64" s="500" t="s">
        <v>747</v>
      </c>
      <c r="E64" s="500"/>
      <c r="F64" s="500"/>
      <c r="G64" s="500"/>
      <c r="H64" s="500"/>
      <c r="I64" s="501" t="s">
        <v>163</v>
      </c>
      <c r="J64" s="505" t="s">
        <v>549</v>
      </c>
      <c r="K64" s="502">
        <v>8000</v>
      </c>
      <c r="L64" s="502">
        <v>2000</v>
      </c>
      <c r="M64" s="502">
        <v>3586.97</v>
      </c>
      <c r="N64" s="502">
        <v>0</v>
      </c>
      <c r="O64" s="502">
        <v>4413.03</v>
      </c>
      <c r="P64" s="502">
        <f t="shared" si="8"/>
        <v>2000.0000000000009</v>
      </c>
      <c r="Q64" s="503"/>
    </row>
    <row r="65" spans="1:20" s="504" customFormat="1" ht="14.25" x14ac:dyDescent="0.2">
      <c r="A65" s="500">
        <v>35</v>
      </c>
      <c r="B65" s="500">
        <v>0</v>
      </c>
      <c r="C65" s="500" t="s">
        <v>748</v>
      </c>
      <c r="D65" s="500" t="s">
        <v>749</v>
      </c>
      <c r="E65" s="500"/>
      <c r="F65" s="500"/>
      <c r="G65" s="500"/>
      <c r="H65" s="500"/>
      <c r="I65" s="501" t="s">
        <v>163</v>
      </c>
      <c r="J65" s="506" t="s">
        <v>547</v>
      </c>
      <c r="K65" s="502">
        <v>0</v>
      </c>
      <c r="L65" s="502">
        <v>5345.04</v>
      </c>
      <c r="M65" s="502">
        <v>5345.04</v>
      </c>
      <c r="N65" s="502">
        <v>0</v>
      </c>
      <c r="O65" s="502">
        <v>0</v>
      </c>
      <c r="P65" s="502">
        <f t="shared" si="8"/>
        <v>0</v>
      </c>
      <c r="Q65" s="503"/>
    </row>
    <row r="66" spans="1:20" s="504" customFormat="1" ht="14.25" x14ac:dyDescent="0.2">
      <c r="A66" s="500">
        <v>290</v>
      </c>
      <c r="B66" s="500">
        <v>0</v>
      </c>
      <c r="C66" s="500" t="s">
        <v>750</v>
      </c>
      <c r="D66" s="500" t="s">
        <v>751</v>
      </c>
      <c r="E66" s="500"/>
      <c r="F66" s="500"/>
      <c r="G66" s="500"/>
      <c r="H66" s="500"/>
      <c r="I66" s="501" t="s">
        <v>163</v>
      </c>
      <c r="J66" s="506" t="s">
        <v>547</v>
      </c>
      <c r="K66" s="502">
        <v>0</v>
      </c>
      <c r="L66" s="502">
        <v>800</v>
      </c>
      <c r="M66" s="502">
        <v>0</v>
      </c>
      <c r="N66" s="502">
        <v>0</v>
      </c>
      <c r="O66" s="502">
        <v>0</v>
      </c>
      <c r="P66" s="502">
        <f t="shared" si="8"/>
        <v>800</v>
      </c>
      <c r="Q66" s="503"/>
    </row>
    <row r="67" spans="1:20" s="504" customFormat="1" ht="14.25" x14ac:dyDescent="0.2">
      <c r="A67" s="500">
        <v>335</v>
      </c>
      <c r="B67" s="500">
        <v>0</v>
      </c>
      <c r="C67" s="500" t="s">
        <v>750</v>
      </c>
      <c r="D67" s="500" t="s">
        <v>752</v>
      </c>
      <c r="E67" s="500"/>
      <c r="F67" s="500"/>
      <c r="G67" s="500"/>
      <c r="H67" s="500"/>
      <c r="I67" s="501" t="s">
        <v>163</v>
      </c>
      <c r="J67" s="506" t="s">
        <v>547</v>
      </c>
      <c r="K67" s="502">
        <v>14600</v>
      </c>
      <c r="L67" s="502">
        <v>11973.43</v>
      </c>
      <c r="M67" s="502">
        <v>11973.42</v>
      </c>
      <c r="N67" s="502">
        <v>0</v>
      </c>
      <c r="O67" s="502">
        <v>2626.58</v>
      </c>
      <c r="P67" s="502">
        <f t="shared" si="8"/>
        <v>11973.43</v>
      </c>
      <c r="Q67" s="503"/>
    </row>
    <row r="68" spans="1:20" s="504" customFormat="1" ht="14.25" x14ac:dyDescent="0.2">
      <c r="A68" s="500">
        <v>337</v>
      </c>
      <c r="B68" s="500">
        <v>0</v>
      </c>
      <c r="C68" s="500" t="s">
        <v>750</v>
      </c>
      <c r="D68" s="500" t="s">
        <v>753</v>
      </c>
      <c r="E68" s="500"/>
      <c r="F68" s="500"/>
      <c r="G68" s="500"/>
      <c r="H68" s="500"/>
      <c r="I68" s="501" t="s">
        <v>163</v>
      </c>
      <c r="J68" s="506" t="s">
        <v>547</v>
      </c>
      <c r="K68" s="502">
        <v>1250</v>
      </c>
      <c r="L68" s="502">
        <v>5650</v>
      </c>
      <c r="M68" s="502">
        <v>5850</v>
      </c>
      <c r="N68" s="502">
        <v>0</v>
      </c>
      <c r="O68" s="502">
        <v>1050</v>
      </c>
      <c r="P68" s="502">
        <f t="shared" si="8"/>
        <v>0</v>
      </c>
      <c r="Q68" s="503"/>
    </row>
    <row r="69" spans="1:20" x14ac:dyDescent="0.25">
      <c r="D69" s="69"/>
      <c r="E69" s="69"/>
      <c r="F69" s="69"/>
      <c r="G69" s="69"/>
      <c r="H69" s="69"/>
      <c r="I69" s="69"/>
      <c r="J69" s="69"/>
      <c r="K69" s="70"/>
    </row>
    <row r="70" spans="1:20" x14ac:dyDescent="0.25">
      <c r="D70" s="66" t="s">
        <v>74</v>
      </c>
      <c r="E70" s="66"/>
      <c r="F70" s="66"/>
      <c r="G70" s="66"/>
      <c r="H70" s="66"/>
      <c r="I70" s="68" t="s">
        <v>163</v>
      </c>
      <c r="J70" s="68"/>
      <c r="K70" s="67">
        <f>SUM(K56:K69)</f>
        <v>26006.400000000001</v>
      </c>
      <c r="L70" s="67">
        <f t="shared" ref="L70:P70" si="9">SUM(L56:L69)</f>
        <v>37599.93</v>
      </c>
      <c r="M70" s="67">
        <f t="shared" si="9"/>
        <v>38390.619999999995</v>
      </c>
      <c r="N70" s="67">
        <f t="shared" si="9"/>
        <v>0</v>
      </c>
      <c r="O70" s="67">
        <f t="shared" si="9"/>
        <v>8589.61</v>
      </c>
      <c r="P70" s="67">
        <f t="shared" si="9"/>
        <v>16626.100000000002</v>
      </c>
      <c r="Q70" s="89">
        <f>Altre!C69</f>
        <v>0</v>
      </c>
      <c r="R70" s="89">
        <f>Altre!E69</f>
        <v>0</v>
      </c>
      <c r="S70" s="493">
        <f>Altre!C62</f>
        <v>0</v>
      </c>
      <c r="T70" s="493">
        <f>Altre!D62</f>
        <v>0</v>
      </c>
    </row>
    <row r="71" spans="1:20" x14ac:dyDescent="0.25">
      <c r="D71" s="69"/>
      <c r="E71" s="69"/>
      <c r="F71" s="69"/>
      <c r="G71" s="69"/>
      <c r="H71" s="69"/>
      <c r="I71" s="69"/>
      <c r="J71" s="69"/>
      <c r="K71" s="70"/>
    </row>
    <row r="72" spans="1:20" x14ac:dyDescent="0.25">
      <c r="D72" s="69"/>
      <c r="E72" s="69"/>
      <c r="F72" s="69"/>
      <c r="G72" s="69"/>
      <c r="H72" s="69"/>
      <c r="I72" s="69"/>
      <c r="J72" s="69"/>
      <c r="K72" s="70"/>
    </row>
    <row r="73" spans="1:20" x14ac:dyDescent="0.25">
      <c r="D73" s="69"/>
      <c r="E73" s="69"/>
      <c r="F73" s="69"/>
      <c r="G73" s="69"/>
      <c r="H73" s="69"/>
      <c r="I73" s="69"/>
      <c r="J73" s="69"/>
      <c r="K73" s="70"/>
    </row>
    <row r="74" spans="1:20" s="65" customFormat="1" x14ac:dyDescent="0.25">
      <c r="D74" s="68" t="s">
        <v>164</v>
      </c>
      <c r="E74" s="68"/>
      <c r="F74" s="68"/>
      <c r="G74" s="68"/>
      <c r="H74" s="68"/>
      <c r="I74" s="68" t="s">
        <v>166</v>
      </c>
      <c r="J74" s="68"/>
      <c r="K74" s="67">
        <f>SUM(K71:K73)</f>
        <v>0</v>
      </c>
      <c r="L74" s="67">
        <f t="shared" ref="L74:P74" si="10">SUM(L71:L73)</f>
        <v>0</v>
      </c>
      <c r="M74" s="67">
        <f t="shared" si="10"/>
        <v>0</v>
      </c>
      <c r="N74" s="67">
        <f t="shared" si="10"/>
        <v>0</v>
      </c>
      <c r="O74" s="67">
        <f t="shared" si="10"/>
        <v>0</v>
      </c>
      <c r="P74" s="67">
        <f t="shared" si="10"/>
        <v>0</v>
      </c>
      <c r="Q74" s="89">
        <v>0</v>
      </c>
      <c r="R74" s="89">
        <v>0</v>
      </c>
    </row>
    <row r="75" spans="1:20" x14ac:dyDescent="0.25">
      <c r="D75" s="69"/>
      <c r="E75" s="69"/>
      <c r="F75" s="69"/>
      <c r="G75" s="69"/>
      <c r="H75" s="69"/>
      <c r="I75" s="69"/>
      <c r="J75" s="69"/>
      <c r="K75" s="70"/>
    </row>
    <row r="76" spans="1:20" x14ac:dyDescent="0.25">
      <c r="D76" s="69"/>
      <c r="E76" s="69"/>
      <c r="F76" s="69"/>
      <c r="G76" s="69"/>
      <c r="H76" s="69"/>
      <c r="I76" s="69"/>
      <c r="J76" s="69"/>
      <c r="K76" s="70"/>
    </row>
    <row r="77" spans="1:20" s="504" customFormat="1" ht="14.25" x14ac:dyDescent="0.2">
      <c r="A77" s="500">
        <v>620</v>
      </c>
      <c r="B77" s="500">
        <v>0</v>
      </c>
      <c r="C77" s="500" t="s">
        <v>795</v>
      </c>
      <c r="D77" s="500" t="s">
        <v>796</v>
      </c>
      <c r="E77" s="500"/>
      <c r="F77" s="500"/>
      <c r="G77" s="500"/>
      <c r="H77" s="500"/>
      <c r="I77" s="501" t="s">
        <v>167</v>
      </c>
      <c r="J77" s="507" t="s">
        <v>785</v>
      </c>
      <c r="K77" s="502">
        <v>2891.85</v>
      </c>
      <c r="L77" s="502">
        <v>5907.29</v>
      </c>
      <c r="M77" s="502">
        <v>3037.2</v>
      </c>
      <c r="N77" s="502">
        <v>0</v>
      </c>
      <c r="O77" s="502">
        <v>2891.85</v>
      </c>
      <c r="P77" s="502">
        <f>K77+L77-M77+N77-O77</f>
        <v>2870.0899999999997</v>
      </c>
      <c r="Q77" s="503"/>
    </row>
    <row r="78" spans="1:20" x14ac:dyDescent="0.25">
      <c r="D78" s="69"/>
      <c r="E78" s="69"/>
      <c r="F78" s="69"/>
      <c r="G78" s="69"/>
      <c r="H78" s="69"/>
      <c r="I78" s="69"/>
      <c r="J78" s="69"/>
      <c r="K78" s="70"/>
    </row>
    <row r="79" spans="1:20" s="68" customFormat="1" x14ac:dyDescent="0.25">
      <c r="D79" s="68" t="s">
        <v>165</v>
      </c>
      <c r="I79" s="68" t="s">
        <v>167</v>
      </c>
      <c r="K79" s="67">
        <f>SUM(K75:K78)</f>
        <v>2891.85</v>
      </c>
      <c r="L79" s="67">
        <f t="shared" ref="L79:P79" si="11">SUM(L75:L78)</f>
        <v>5907.29</v>
      </c>
      <c r="M79" s="67">
        <f t="shared" si="11"/>
        <v>3037.2</v>
      </c>
      <c r="N79" s="67">
        <f t="shared" si="11"/>
        <v>0</v>
      </c>
      <c r="O79" s="67">
        <f t="shared" si="11"/>
        <v>2891.85</v>
      </c>
      <c r="P79" s="67">
        <f t="shared" si="11"/>
        <v>2870.0899999999997</v>
      </c>
      <c r="Q79" s="89">
        <v>0</v>
      </c>
      <c r="R79" s="89">
        <v>0</v>
      </c>
      <c r="S79" s="493">
        <f>Altre!C63</f>
        <v>0</v>
      </c>
      <c r="T79" s="493">
        <f>Altre!D63</f>
        <v>0</v>
      </c>
    </row>
    <row r="82" spans="1:20" s="504" customFormat="1" ht="14.25" x14ac:dyDescent="0.2">
      <c r="A82" s="500">
        <v>320</v>
      </c>
      <c r="B82" s="500">
        <v>0</v>
      </c>
      <c r="C82" s="500" t="s">
        <v>754</v>
      </c>
      <c r="D82" s="500" t="s">
        <v>755</v>
      </c>
      <c r="E82" s="500"/>
      <c r="F82" s="500"/>
      <c r="G82" s="500"/>
      <c r="H82" s="500"/>
      <c r="I82" s="501" t="s">
        <v>169</v>
      </c>
      <c r="J82" s="506" t="s">
        <v>558</v>
      </c>
      <c r="K82" s="502">
        <v>0</v>
      </c>
      <c r="L82" s="502">
        <v>0.11</v>
      </c>
      <c r="M82" s="502">
        <v>0.11</v>
      </c>
      <c r="N82" s="502">
        <v>0</v>
      </c>
      <c r="O82" s="502">
        <v>0</v>
      </c>
      <c r="P82" s="502">
        <f t="shared" ref="P82:P93" si="12">K82+L82-M82+N82-O82</f>
        <v>0</v>
      </c>
      <c r="Q82" s="503"/>
    </row>
    <row r="83" spans="1:20" s="504" customFormat="1" ht="14.25" x14ac:dyDescent="0.2">
      <c r="A83" s="500">
        <v>210</v>
      </c>
      <c r="B83" s="500">
        <v>0</v>
      </c>
      <c r="C83" s="500" t="s">
        <v>756</v>
      </c>
      <c r="D83" s="500" t="s">
        <v>757</v>
      </c>
      <c r="E83" s="500"/>
      <c r="F83" s="500"/>
      <c r="G83" s="500"/>
      <c r="H83" s="500"/>
      <c r="I83" s="501" t="s">
        <v>169</v>
      </c>
      <c r="J83" s="506" t="s">
        <v>550</v>
      </c>
      <c r="K83" s="502">
        <v>0</v>
      </c>
      <c r="L83" s="502">
        <v>1200</v>
      </c>
      <c r="M83" s="502">
        <v>700</v>
      </c>
      <c r="N83" s="502">
        <v>0</v>
      </c>
      <c r="O83" s="502">
        <v>0</v>
      </c>
      <c r="P83" s="502">
        <f t="shared" si="12"/>
        <v>500</v>
      </c>
      <c r="Q83" s="503"/>
    </row>
    <row r="84" spans="1:20" s="504" customFormat="1" ht="14.25" x14ac:dyDescent="0.2">
      <c r="A84" s="500">
        <v>260</v>
      </c>
      <c r="B84" s="500">
        <v>0</v>
      </c>
      <c r="C84" s="500" t="s">
        <v>756</v>
      </c>
      <c r="D84" s="500" t="s">
        <v>758</v>
      </c>
      <c r="E84" s="500"/>
      <c r="F84" s="500"/>
      <c r="G84" s="500"/>
      <c r="H84" s="500"/>
      <c r="I84" s="501" t="s">
        <v>169</v>
      </c>
      <c r="J84" s="506" t="s">
        <v>550</v>
      </c>
      <c r="K84" s="502">
        <v>5402.54</v>
      </c>
      <c r="L84" s="502">
        <v>15099.92</v>
      </c>
      <c r="M84" s="502">
        <v>20488.580000000002</v>
      </c>
      <c r="N84" s="502">
        <v>448.38</v>
      </c>
      <c r="O84" s="502">
        <v>0</v>
      </c>
      <c r="P84" s="502">
        <f t="shared" si="12"/>
        <v>462.25999999999738</v>
      </c>
      <c r="Q84" s="503"/>
    </row>
    <row r="85" spans="1:20" s="504" customFormat="1" ht="14.25" x14ac:dyDescent="0.2">
      <c r="A85" s="500">
        <v>330</v>
      </c>
      <c r="B85" s="500">
        <v>0</v>
      </c>
      <c r="C85" s="500" t="s">
        <v>756</v>
      </c>
      <c r="D85" s="500" t="s">
        <v>759</v>
      </c>
      <c r="E85" s="500"/>
      <c r="F85" s="500"/>
      <c r="G85" s="500"/>
      <c r="H85" s="500"/>
      <c r="I85" s="501" t="s">
        <v>169</v>
      </c>
      <c r="J85" s="506" t="s">
        <v>550</v>
      </c>
      <c r="K85" s="502">
        <v>28.86</v>
      </c>
      <c r="L85" s="502">
        <v>124.06</v>
      </c>
      <c r="M85" s="502">
        <v>152.91999999999999</v>
      </c>
      <c r="N85" s="502">
        <v>0</v>
      </c>
      <c r="O85" s="502">
        <v>0</v>
      </c>
      <c r="P85" s="502">
        <f t="shared" si="12"/>
        <v>2.8421709430404007E-14</v>
      </c>
      <c r="Q85" s="503"/>
    </row>
    <row r="86" spans="1:20" s="504" customFormat="1" ht="14.25" x14ac:dyDescent="0.2">
      <c r="A86" s="500">
        <v>450</v>
      </c>
      <c r="B86" s="500">
        <v>0</v>
      </c>
      <c r="C86" s="500" t="s">
        <v>780</v>
      </c>
      <c r="D86" s="500" t="s">
        <v>781</v>
      </c>
      <c r="E86" s="500"/>
      <c r="F86" s="500"/>
      <c r="G86" s="500"/>
      <c r="H86" s="500"/>
      <c r="I86" s="501" t="s">
        <v>169</v>
      </c>
      <c r="J86" s="501" t="s">
        <v>782</v>
      </c>
      <c r="K86" s="502">
        <v>7419.81</v>
      </c>
      <c r="L86" s="502">
        <v>26848.5</v>
      </c>
      <c r="M86" s="502">
        <v>34268.31</v>
      </c>
      <c r="N86" s="502">
        <v>0</v>
      </c>
      <c r="O86" s="502">
        <v>0</v>
      </c>
      <c r="P86" s="502">
        <f t="shared" si="12"/>
        <v>0</v>
      </c>
      <c r="Q86" s="503"/>
    </row>
    <row r="87" spans="1:20" s="504" customFormat="1" ht="14.25" x14ac:dyDescent="0.2">
      <c r="A87" s="500">
        <v>600</v>
      </c>
      <c r="B87" s="500">
        <v>0</v>
      </c>
      <c r="C87" s="500" t="s">
        <v>783</v>
      </c>
      <c r="D87" s="500" t="s">
        <v>784</v>
      </c>
      <c r="E87" s="500"/>
      <c r="F87" s="500"/>
      <c r="G87" s="500"/>
      <c r="H87" s="500"/>
      <c r="I87" s="501" t="s">
        <v>169</v>
      </c>
      <c r="J87" s="507" t="s">
        <v>785</v>
      </c>
      <c r="K87" s="502">
        <v>533.5</v>
      </c>
      <c r="L87" s="502">
        <v>19852.79</v>
      </c>
      <c r="M87" s="502">
        <v>19740.2</v>
      </c>
      <c r="N87" s="502">
        <v>0</v>
      </c>
      <c r="O87" s="502">
        <v>533.5</v>
      </c>
      <c r="P87" s="502">
        <f t="shared" si="12"/>
        <v>112.59000000000015</v>
      </c>
      <c r="Q87" s="503"/>
    </row>
    <row r="88" spans="1:20" s="504" customFormat="1" ht="14.25" x14ac:dyDescent="0.2">
      <c r="A88" s="500">
        <v>600</v>
      </c>
      <c r="B88" s="500">
        <v>1</v>
      </c>
      <c r="C88" s="500" t="s">
        <v>783</v>
      </c>
      <c r="D88" s="500" t="s">
        <v>786</v>
      </c>
      <c r="E88" s="500"/>
      <c r="F88" s="500"/>
      <c r="G88" s="500"/>
      <c r="H88" s="500"/>
      <c r="I88" s="501" t="s">
        <v>169</v>
      </c>
      <c r="J88" s="507" t="s">
        <v>785</v>
      </c>
      <c r="K88" s="502">
        <v>0</v>
      </c>
      <c r="L88" s="502">
        <v>5623.56</v>
      </c>
      <c r="M88" s="502">
        <v>5623.56</v>
      </c>
      <c r="N88" s="502">
        <v>0</v>
      </c>
      <c r="O88" s="502">
        <v>0</v>
      </c>
      <c r="P88" s="502">
        <f t="shared" si="12"/>
        <v>0</v>
      </c>
      <c r="Q88" s="503"/>
    </row>
    <row r="89" spans="1:20" s="504" customFormat="1" ht="14.25" x14ac:dyDescent="0.2">
      <c r="A89" s="500">
        <v>590</v>
      </c>
      <c r="B89" s="500">
        <v>0</v>
      </c>
      <c r="C89" s="500" t="s">
        <v>787</v>
      </c>
      <c r="D89" s="500" t="s">
        <v>788</v>
      </c>
      <c r="E89" s="500"/>
      <c r="F89" s="500"/>
      <c r="G89" s="500"/>
      <c r="H89" s="500"/>
      <c r="I89" s="501" t="s">
        <v>169</v>
      </c>
      <c r="J89" s="507" t="s">
        <v>785</v>
      </c>
      <c r="K89" s="502">
        <v>804.79</v>
      </c>
      <c r="L89" s="502">
        <v>11161.58</v>
      </c>
      <c r="M89" s="502">
        <v>10409.15</v>
      </c>
      <c r="N89" s="502">
        <v>0</v>
      </c>
      <c r="O89" s="502">
        <v>804.79</v>
      </c>
      <c r="P89" s="502">
        <f t="shared" si="12"/>
        <v>752.42999999999938</v>
      </c>
      <c r="Q89" s="503"/>
    </row>
    <row r="90" spans="1:20" s="504" customFormat="1" ht="14.25" x14ac:dyDescent="0.2">
      <c r="A90" s="500">
        <v>605</v>
      </c>
      <c r="B90" s="500">
        <v>0</v>
      </c>
      <c r="C90" s="500" t="s">
        <v>789</v>
      </c>
      <c r="D90" s="500" t="s">
        <v>790</v>
      </c>
      <c r="E90" s="500"/>
      <c r="F90" s="500"/>
      <c r="G90" s="500"/>
      <c r="H90" s="500"/>
      <c r="I90" s="501" t="s">
        <v>169</v>
      </c>
      <c r="J90" s="507" t="s">
        <v>785</v>
      </c>
      <c r="K90" s="502">
        <v>0</v>
      </c>
      <c r="L90" s="502">
        <v>1491.7</v>
      </c>
      <c r="M90" s="502">
        <v>1491.7</v>
      </c>
      <c r="N90" s="502">
        <v>0</v>
      </c>
      <c r="O90" s="502">
        <v>0</v>
      </c>
      <c r="P90" s="502">
        <f t="shared" si="12"/>
        <v>0</v>
      </c>
      <c r="Q90" s="503"/>
    </row>
    <row r="91" spans="1:20" s="504" customFormat="1" ht="14.25" x14ac:dyDescent="0.2">
      <c r="A91" s="500">
        <v>606</v>
      </c>
      <c r="B91" s="500">
        <v>0</v>
      </c>
      <c r="C91" s="500" t="s">
        <v>789</v>
      </c>
      <c r="D91" s="500" t="s">
        <v>720</v>
      </c>
      <c r="E91" s="500"/>
      <c r="F91" s="500"/>
      <c r="G91" s="500"/>
      <c r="H91" s="500"/>
      <c r="I91" s="501" t="s">
        <v>169</v>
      </c>
      <c r="J91" s="507" t="s">
        <v>785</v>
      </c>
      <c r="K91" s="502">
        <v>0</v>
      </c>
      <c r="L91" s="502">
        <v>971.2</v>
      </c>
      <c r="M91" s="502">
        <v>949.92</v>
      </c>
      <c r="N91" s="502">
        <v>0</v>
      </c>
      <c r="O91" s="502">
        <v>0</v>
      </c>
      <c r="P91" s="502">
        <f t="shared" si="12"/>
        <v>21.280000000000086</v>
      </c>
      <c r="Q91" s="503"/>
    </row>
    <row r="92" spans="1:20" s="504" customFormat="1" ht="14.25" x14ac:dyDescent="0.2">
      <c r="A92" s="500">
        <v>630</v>
      </c>
      <c r="B92" s="500">
        <v>0</v>
      </c>
      <c r="C92" s="500" t="s">
        <v>791</v>
      </c>
      <c r="D92" s="500" t="s">
        <v>792</v>
      </c>
      <c r="E92" s="500"/>
      <c r="F92" s="500"/>
      <c r="G92" s="500"/>
      <c r="H92" s="500"/>
      <c r="I92" s="501" t="s">
        <v>169</v>
      </c>
      <c r="J92" s="507" t="s">
        <v>785</v>
      </c>
      <c r="K92" s="502">
        <v>5000</v>
      </c>
      <c r="L92" s="502">
        <v>4600</v>
      </c>
      <c r="M92" s="502">
        <v>5000</v>
      </c>
      <c r="N92" s="502">
        <v>0</v>
      </c>
      <c r="O92" s="502">
        <v>0</v>
      </c>
      <c r="P92" s="502">
        <f t="shared" si="12"/>
        <v>4600</v>
      </c>
      <c r="Q92" s="503"/>
    </row>
    <row r="93" spans="1:20" s="504" customFormat="1" ht="14.25" x14ac:dyDescent="0.2">
      <c r="A93" s="500">
        <v>615</v>
      </c>
      <c r="B93" s="500">
        <v>0</v>
      </c>
      <c r="C93" s="500" t="s">
        <v>793</v>
      </c>
      <c r="D93" s="500" t="s">
        <v>794</v>
      </c>
      <c r="E93" s="500"/>
      <c r="F93" s="500"/>
      <c r="G93" s="500"/>
      <c r="H93" s="500"/>
      <c r="I93" s="501" t="s">
        <v>169</v>
      </c>
      <c r="J93" s="507" t="s">
        <v>785</v>
      </c>
      <c r="K93" s="502">
        <v>766.54</v>
      </c>
      <c r="L93" s="502">
        <v>86002.12</v>
      </c>
      <c r="M93" s="502">
        <v>86283.33</v>
      </c>
      <c r="N93" s="502">
        <v>45.67</v>
      </c>
      <c r="O93" s="502">
        <v>0</v>
      </c>
      <c r="P93" s="502">
        <f t="shared" si="12"/>
        <v>530.99999999998715</v>
      </c>
      <c r="Q93" s="503"/>
    </row>
    <row r="95" spans="1:20" s="68" customFormat="1" x14ac:dyDescent="0.25">
      <c r="D95" s="68" t="s">
        <v>168</v>
      </c>
      <c r="I95" s="68" t="s">
        <v>169</v>
      </c>
      <c r="K95" s="67">
        <f>SUM(K80:K94)</f>
        <v>19956.04</v>
      </c>
      <c r="L95" s="67">
        <f t="shared" ref="L95:P95" si="13">SUM(L80:L94)</f>
        <v>172975.53999999998</v>
      </c>
      <c r="M95" s="67">
        <f t="shared" si="13"/>
        <v>185107.77999999997</v>
      </c>
      <c r="N95" s="67">
        <f t="shared" si="13"/>
        <v>494.05</v>
      </c>
      <c r="O95" s="67">
        <f t="shared" si="13"/>
        <v>1338.29</v>
      </c>
      <c r="P95" s="67">
        <f t="shared" si="13"/>
        <v>6979.5599999999849</v>
      </c>
      <c r="Q95" s="89">
        <f>Altre!C70</f>
        <v>0</v>
      </c>
      <c r="R95" s="89">
        <f>Altre!E70</f>
        <v>0</v>
      </c>
      <c r="S95" s="493">
        <f>Altre!C64</f>
        <v>0</v>
      </c>
      <c r="T95" s="493">
        <f>Altre!D64</f>
        <v>0</v>
      </c>
    </row>
    <row r="99" spans="4:18" s="68" customFormat="1" x14ac:dyDescent="0.25">
      <c r="D99" s="68" t="s">
        <v>87</v>
      </c>
      <c r="I99" s="68" t="s">
        <v>500</v>
      </c>
      <c r="K99" s="67">
        <f>SUM(K96:K98)</f>
        <v>0</v>
      </c>
      <c r="L99" s="67">
        <f t="shared" ref="L99:P99" si="14">SUM(L96:L98)</f>
        <v>0</v>
      </c>
      <c r="M99" s="67">
        <f t="shared" si="14"/>
        <v>0</v>
      </c>
      <c r="N99" s="67">
        <f t="shared" si="14"/>
        <v>0</v>
      </c>
      <c r="O99" s="67">
        <f t="shared" si="14"/>
        <v>0</v>
      </c>
      <c r="P99" s="67">
        <f t="shared" si="14"/>
        <v>0</v>
      </c>
      <c r="Q99" s="89">
        <v>0</v>
      </c>
      <c r="R99" s="89">
        <v>0</v>
      </c>
    </row>
  </sheetData>
  <sortState ref="A51:T100">
    <sortCondition ref="I51:I10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3"/>
  <sheetViews>
    <sheetView workbookViewId="0">
      <selection activeCell="F3" sqref="F3"/>
    </sheetView>
  </sheetViews>
  <sheetFormatPr defaultRowHeight="15" x14ac:dyDescent="0.25"/>
  <cols>
    <col min="1" max="1" width="4.5703125" bestFit="1" customWidth="1"/>
    <col min="2" max="2" width="4.42578125" bestFit="1" customWidth="1"/>
    <col min="3" max="3" width="12.7109375" bestFit="1" customWidth="1"/>
    <col min="4" max="4" width="54.7109375" bestFit="1" customWidth="1"/>
    <col min="5" max="5" width="5.28515625" bestFit="1" customWidth="1"/>
    <col min="6" max="6" width="22.140625" bestFit="1" customWidth="1"/>
    <col min="7" max="7" width="6" bestFit="1" customWidth="1"/>
    <col min="8" max="8" width="25.7109375" bestFit="1" customWidth="1"/>
    <col min="9" max="10" width="7.5703125" bestFit="1" customWidth="1"/>
    <col min="11" max="11" width="18.140625" style="64" bestFit="1" customWidth="1"/>
    <col min="12" max="16" width="20" customWidth="1"/>
  </cols>
  <sheetData>
    <row r="1" spans="1:16" ht="30" x14ac:dyDescent="0.25">
      <c r="A1" t="s">
        <v>150</v>
      </c>
      <c r="B1" t="s">
        <v>151</v>
      </c>
      <c r="C1" s="111" t="s">
        <v>376</v>
      </c>
      <c r="D1" t="s">
        <v>383</v>
      </c>
      <c r="E1" s="111" t="s">
        <v>377</v>
      </c>
      <c r="F1" s="111" t="s">
        <v>379</v>
      </c>
      <c r="G1" s="111" t="s">
        <v>378</v>
      </c>
      <c r="H1" s="111" t="s">
        <v>380</v>
      </c>
      <c r="I1" s="111" t="s">
        <v>382</v>
      </c>
      <c r="J1" s="111" t="s">
        <v>381</v>
      </c>
      <c r="K1" s="64" t="s">
        <v>267</v>
      </c>
      <c r="L1" s="111" t="s">
        <v>269</v>
      </c>
      <c r="M1" s="111" t="s">
        <v>270</v>
      </c>
      <c r="N1" s="187" t="s">
        <v>278</v>
      </c>
      <c r="O1" s="111" t="s">
        <v>279</v>
      </c>
      <c r="P1" s="111" t="s">
        <v>268</v>
      </c>
    </row>
    <row r="5" spans="1:16" s="68" customFormat="1" x14ac:dyDescent="0.25">
      <c r="D5" s="68" t="s">
        <v>173</v>
      </c>
      <c r="I5" s="68" t="s">
        <v>170</v>
      </c>
      <c r="K5" s="67">
        <f t="shared" ref="K5:P5" si="0">SUM(K2:K4)</f>
        <v>0</v>
      </c>
      <c r="L5" s="67">
        <f t="shared" si="0"/>
        <v>0</v>
      </c>
      <c r="M5" s="67">
        <f t="shared" si="0"/>
        <v>0</v>
      </c>
      <c r="N5" s="67">
        <f t="shared" si="0"/>
        <v>0</v>
      </c>
      <c r="O5" s="67">
        <f t="shared" si="0"/>
        <v>0</v>
      </c>
      <c r="P5" s="67">
        <f t="shared" si="0"/>
        <v>0</v>
      </c>
    </row>
    <row r="9" spans="1:16" s="68" customFormat="1" x14ac:dyDescent="0.25">
      <c r="D9" s="68" t="s">
        <v>171</v>
      </c>
      <c r="I9" s="68" t="s">
        <v>172</v>
      </c>
      <c r="K9" s="67">
        <f>SUM(K6:K8)</f>
        <v>0</v>
      </c>
      <c r="L9" s="67">
        <f t="shared" ref="L9:P9" si="1">SUM(L6:L8)</f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7">
        <f t="shared" si="1"/>
        <v>0</v>
      </c>
    </row>
    <row r="13" spans="1:16" s="68" customFormat="1" x14ac:dyDescent="0.25">
      <c r="D13" s="68" t="s">
        <v>174</v>
      </c>
      <c r="I13" s="68" t="s">
        <v>175</v>
      </c>
      <c r="K13" s="67">
        <f>SUM(K10:K12)</f>
        <v>0</v>
      </c>
      <c r="L13" s="67">
        <f t="shared" ref="L13:P13" si="2">SUM(L10:L12)</f>
        <v>0</v>
      </c>
      <c r="M13" s="67">
        <f t="shared" si="2"/>
        <v>0</v>
      </c>
      <c r="N13" s="67">
        <f t="shared" si="2"/>
        <v>0</v>
      </c>
      <c r="O13" s="67">
        <f t="shared" si="2"/>
        <v>0</v>
      </c>
      <c r="P13" s="67">
        <f t="shared" si="2"/>
        <v>0</v>
      </c>
    </row>
    <row r="16" spans="1:16" s="504" customFormat="1" ht="14.25" x14ac:dyDescent="0.2">
      <c r="A16" s="500">
        <v>290</v>
      </c>
      <c r="B16" s="500">
        <v>0</v>
      </c>
      <c r="C16" s="500" t="s">
        <v>956</v>
      </c>
      <c r="D16" s="500" t="s">
        <v>957</v>
      </c>
      <c r="E16" s="500" t="s">
        <v>799</v>
      </c>
      <c r="F16" s="500"/>
      <c r="G16" s="500" t="s">
        <v>829</v>
      </c>
      <c r="H16" s="500"/>
      <c r="I16" s="508" t="s">
        <v>177</v>
      </c>
      <c r="J16" s="506" t="s">
        <v>564</v>
      </c>
      <c r="K16" s="502">
        <v>0</v>
      </c>
      <c r="L16" s="502">
        <v>21510</v>
      </c>
      <c r="M16" s="502">
        <v>21510</v>
      </c>
      <c r="N16" s="502"/>
      <c r="O16" s="502">
        <v>0</v>
      </c>
      <c r="P16" s="502">
        <f>K16+L16-M16+N16-O16</f>
        <v>0</v>
      </c>
    </row>
    <row r="17" spans="1:17" s="504" customFormat="1" ht="14.25" x14ac:dyDescent="0.2">
      <c r="A17" s="500">
        <v>1320</v>
      </c>
      <c r="B17" s="500">
        <v>0</v>
      </c>
      <c r="C17" s="500" t="s">
        <v>991</v>
      </c>
      <c r="D17" s="500" t="s">
        <v>992</v>
      </c>
      <c r="E17" s="500" t="s">
        <v>993</v>
      </c>
      <c r="F17" s="500"/>
      <c r="G17" s="500" t="s">
        <v>800</v>
      </c>
      <c r="H17" s="500"/>
      <c r="I17" s="509" t="s">
        <v>177</v>
      </c>
      <c r="J17" s="507" t="s">
        <v>785</v>
      </c>
      <c r="K17" s="502">
        <v>0</v>
      </c>
      <c r="L17" s="502">
        <v>58013.279999999999</v>
      </c>
      <c r="M17" s="502">
        <v>58013.279999999999</v>
      </c>
      <c r="N17" s="502"/>
      <c r="O17" s="502">
        <v>0</v>
      </c>
      <c r="P17" s="502">
        <f>K17+L17-M17+N17-O17</f>
        <v>0</v>
      </c>
    </row>
    <row r="19" spans="1:17" s="68" customFormat="1" x14ac:dyDescent="0.25">
      <c r="D19" s="68" t="s">
        <v>176</v>
      </c>
      <c r="I19" s="68" t="s">
        <v>177</v>
      </c>
      <c r="K19" s="67">
        <f>SUM(K14:K18)</f>
        <v>0</v>
      </c>
      <c r="L19" s="67">
        <f t="shared" ref="L19:P19" si="3">SUM(L14:L18)</f>
        <v>79523.28</v>
      </c>
      <c r="M19" s="67">
        <f t="shared" si="3"/>
        <v>79523.28</v>
      </c>
      <c r="N19" s="67">
        <f t="shared" si="3"/>
        <v>0</v>
      </c>
      <c r="O19" s="67">
        <f t="shared" si="3"/>
        <v>0</v>
      </c>
      <c r="P19" s="67">
        <f t="shared" si="3"/>
        <v>0</v>
      </c>
    </row>
    <row r="20" spans="1:17" s="123" customFormat="1" ht="15.75" x14ac:dyDescent="0.25">
      <c r="D20" s="265" t="s">
        <v>498</v>
      </c>
      <c r="F20" s="140"/>
      <c r="H20" s="383"/>
      <c r="I20" s="383"/>
      <c r="J20" s="383"/>
      <c r="K20" s="385">
        <v>0</v>
      </c>
      <c r="L20" s="383"/>
      <c r="M20" s="383"/>
      <c r="N20" s="384"/>
      <c r="O20" s="383"/>
      <c r="P20" s="383"/>
      <c r="Q20" s="383"/>
    </row>
    <row r="21" spans="1:17" s="123" customFormat="1" ht="15.75" x14ac:dyDescent="0.25">
      <c r="D21" s="265" t="s">
        <v>499</v>
      </c>
      <c r="F21" s="140"/>
      <c r="H21" s="383"/>
      <c r="I21" s="383"/>
      <c r="J21" s="383"/>
      <c r="K21" s="383"/>
      <c r="L21" s="385">
        <f>L17</f>
        <v>58013.279999999999</v>
      </c>
      <c r="M21" s="383"/>
      <c r="N21" s="384"/>
      <c r="O21" s="383"/>
      <c r="P21" s="383"/>
      <c r="Q21" s="383"/>
    </row>
    <row r="22" spans="1:17" s="123" customFormat="1" ht="15.75" x14ac:dyDescent="0.25">
      <c r="D22" s="383"/>
      <c r="F22" s="140"/>
      <c r="H22" s="383"/>
      <c r="I22" s="383"/>
      <c r="J22" s="383"/>
      <c r="K22" s="383"/>
      <c r="L22" s="149"/>
      <c r="M22" s="383"/>
      <c r="N22" s="384"/>
      <c r="O22" s="383"/>
      <c r="P22" s="383"/>
      <c r="Q22" s="383"/>
    </row>
    <row r="25" spans="1:17" s="504" customFormat="1" ht="14.25" x14ac:dyDescent="0.2">
      <c r="A25" s="500">
        <v>230</v>
      </c>
      <c r="B25" s="500">
        <v>7</v>
      </c>
      <c r="C25" s="500" t="s">
        <v>811</v>
      </c>
      <c r="D25" s="500" t="s">
        <v>812</v>
      </c>
      <c r="E25" s="500" t="s">
        <v>799</v>
      </c>
      <c r="F25" s="500"/>
      <c r="G25" s="500" t="s">
        <v>800</v>
      </c>
      <c r="H25" s="500"/>
      <c r="I25" s="508" t="s">
        <v>187</v>
      </c>
      <c r="J25" s="506" t="s">
        <v>563</v>
      </c>
      <c r="K25" s="502">
        <v>0</v>
      </c>
      <c r="L25" s="502">
        <v>5966.1</v>
      </c>
      <c r="M25" s="502">
        <v>5161.1000000000004</v>
      </c>
      <c r="N25" s="502"/>
      <c r="O25" s="502">
        <v>0</v>
      </c>
      <c r="P25" s="502">
        <f t="shared" ref="P25:P56" si="4">K25+L25-M25+N25-O25</f>
        <v>805</v>
      </c>
    </row>
    <row r="26" spans="1:17" s="504" customFormat="1" ht="14.25" x14ac:dyDescent="0.2">
      <c r="A26" s="500">
        <v>610</v>
      </c>
      <c r="B26" s="500">
        <v>0</v>
      </c>
      <c r="C26" s="500" t="s">
        <v>827</v>
      </c>
      <c r="D26" s="500" t="s">
        <v>828</v>
      </c>
      <c r="E26" s="500" t="s">
        <v>829</v>
      </c>
      <c r="F26" s="500"/>
      <c r="G26" s="500" t="s">
        <v>800</v>
      </c>
      <c r="H26" s="500"/>
      <c r="I26" s="508" t="s">
        <v>187</v>
      </c>
      <c r="J26" s="501" t="s">
        <v>544</v>
      </c>
      <c r="K26" s="502">
        <v>2986.78</v>
      </c>
      <c r="L26" s="502">
        <v>1000</v>
      </c>
      <c r="M26" s="502">
        <v>1932.52</v>
      </c>
      <c r="N26" s="502"/>
      <c r="O26" s="502">
        <v>0</v>
      </c>
      <c r="P26" s="502">
        <f t="shared" si="4"/>
        <v>2054.2600000000002</v>
      </c>
    </row>
    <row r="27" spans="1:17" s="504" customFormat="1" ht="14.25" x14ac:dyDescent="0.2">
      <c r="A27" s="500">
        <v>616</v>
      </c>
      <c r="B27" s="500">
        <v>0</v>
      </c>
      <c r="C27" s="500" t="s">
        <v>827</v>
      </c>
      <c r="D27" s="500" t="s">
        <v>830</v>
      </c>
      <c r="E27" s="500" t="s">
        <v>799</v>
      </c>
      <c r="F27" s="500"/>
      <c r="G27" s="500" t="s">
        <v>826</v>
      </c>
      <c r="H27" s="500"/>
      <c r="I27" s="508" t="s">
        <v>187</v>
      </c>
      <c r="J27" s="501" t="s">
        <v>544</v>
      </c>
      <c r="K27" s="502">
        <v>1528.66</v>
      </c>
      <c r="L27" s="502">
        <v>1492.06</v>
      </c>
      <c r="M27" s="502">
        <v>1528.66</v>
      </c>
      <c r="N27" s="502"/>
      <c r="O27" s="502">
        <v>0</v>
      </c>
      <c r="P27" s="502">
        <f t="shared" si="4"/>
        <v>1492.0600000000002</v>
      </c>
    </row>
    <row r="28" spans="1:17" s="504" customFormat="1" ht="14.25" x14ac:dyDescent="0.2">
      <c r="A28" s="500">
        <v>200</v>
      </c>
      <c r="B28" s="500">
        <v>0</v>
      </c>
      <c r="C28" s="500" t="s">
        <v>831</v>
      </c>
      <c r="D28" s="500" t="s">
        <v>832</v>
      </c>
      <c r="E28" s="500" t="s">
        <v>799</v>
      </c>
      <c r="F28" s="500"/>
      <c r="G28" s="500" t="s">
        <v>806</v>
      </c>
      <c r="H28" s="500"/>
      <c r="I28" s="508" t="s">
        <v>187</v>
      </c>
      <c r="J28" s="501" t="s">
        <v>544</v>
      </c>
      <c r="K28" s="502">
        <v>0</v>
      </c>
      <c r="L28" s="502">
        <v>1491.45</v>
      </c>
      <c r="M28" s="502">
        <v>1491.45</v>
      </c>
      <c r="N28" s="502"/>
      <c r="O28" s="502">
        <v>0</v>
      </c>
      <c r="P28" s="502">
        <f t="shared" si="4"/>
        <v>0</v>
      </c>
    </row>
    <row r="29" spans="1:17" s="504" customFormat="1" ht="14.25" x14ac:dyDescent="0.2">
      <c r="A29" s="500">
        <v>200</v>
      </c>
      <c r="B29" s="500">
        <v>1</v>
      </c>
      <c r="C29" s="500" t="s">
        <v>831</v>
      </c>
      <c r="D29" s="500" t="s">
        <v>833</v>
      </c>
      <c r="E29" s="500" t="s">
        <v>799</v>
      </c>
      <c r="F29" s="500"/>
      <c r="G29" s="500" t="s">
        <v>803</v>
      </c>
      <c r="H29" s="500"/>
      <c r="I29" s="508" t="s">
        <v>187</v>
      </c>
      <c r="J29" s="501" t="s">
        <v>544</v>
      </c>
      <c r="K29" s="502">
        <v>366</v>
      </c>
      <c r="L29" s="502">
        <v>753.61</v>
      </c>
      <c r="M29" s="502">
        <v>781.41</v>
      </c>
      <c r="N29" s="502"/>
      <c r="O29" s="502">
        <v>0</v>
      </c>
      <c r="P29" s="502">
        <f t="shared" si="4"/>
        <v>338.20000000000016</v>
      </c>
    </row>
    <row r="30" spans="1:17" s="504" customFormat="1" ht="14.25" x14ac:dyDescent="0.2">
      <c r="A30" s="500">
        <v>709</v>
      </c>
      <c r="B30" s="500">
        <v>0</v>
      </c>
      <c r="C30" s="500" t="s">
        <v>834</v>
      </c>
      <c r="D30" s="500" t="s">
        <v>835</v>
      </c>
      <c r="E30" s="500" t="s">
        <v>836</v>
      </c>
      <c r="F30" s="500"/>
      <c r="G30" s="500" t="s">
        <v>829</v>
      </c>
      <c r="H30" s="500"/>
      <c r="I30" s="508" t="s">
        <v>187</v>
      </c>
      <c r="J30" s="501" t="s">
        <v>544</v>
      </c>
      <c r="K30" s="502">
        <v>444.24</v>
      </c>
      <c r="L30" s="502">
        <v>500</v>
      </c>
      <c r="M30" s="502">
        <v>444.24</v>
      </c>
      <c r="N30" s="502"/>
      <c r="O30" s="502">
        <v>0</v>
      </c>
      <c r="P30" s="502">
        <f t="shared" si="4"/>
        <v>500</v>
      </c>
    </row>
    <row r="31" spans="1:17" s="504" customFormat="1" ht="14.25" x14ac:dyDescent="0.2">
      <c r="A31" s="500">
        <v>710</v>
      </c>
      <c r="B31" s="500">
        <v>1</v>
      </c>
      <c r="C31" s="500" t="s">
        <v>834</v>
      </c>
      <c r="D31" s="500" t="s">
        <v>837</v>
      </c>
      <c r="E31" s="500" t="s">
        <v>836</v>
      </c>
      <c r="F31" s="500"/>
      <c r="G31" s="500" t="s">
        <v>829</v>
      </c>
      <c r="H31" s="500"/>
      <c r="I31" s="508" t="s">
        <v>187</v>
      </c>
      <c r="J31" s="501" t="s">
        <v>544</v>
      </c>
      <c r="K31" s="502">
        <v>800</v>
      </c>
      <c r="L31" s="502">
        <v>500</v>
      </c>
      <c r="M31" s="502">
        <v>800</v>
      </c>
      <c r="N31" s="502"/>
      <c r="O31" s="502">
        <v>0</v>
      </c>
      <c r="P31" s="502">
        <f t="shared" si="4"/>
        <v>500</v>
      </c>
    </row>
    <row r="32" spans="1:17" s="504" customFormat="1" ht="14.25" x14ac:dyDescent="0.2">
      <c r="A32" s="500">
        <v>710</v>
      </c>
      <c r="B32" s="500">
        <v>2</v>
      </c>
      <c r="C32" s="500" t="s">
        <v>834</v>
      </c>
      <c r="D32" s="500" t="s">
        <v>838</v>
      </c>
      <c r="E32" s="500" t="s">
        <v>805</v>
      </c>
      <c r="F32" s="500"/>
      <c r="G32" s="500" t="s">
        <v>806</v>
      </c>
      <c r="H32" s="500"/>
      <c r="I32" s="508" t="s">
        <v>187</v>
      </c>
      <c r="J32" s="501" t="s">
        <v>544</v>
      </c>
      <c r="K32" s="502">
        <v>731.93</v>
      </c>
      <c r="L32" s="502">
        <v>694.93</v>
      </c>
      <c r="M32" s="502">
        <v>731.93</v>
      </c>
      <c r="N32" s="502"/>
      <c r="O32" s="502">
        <v>0</v>
      </c>
      <c r="P32" s="502">
        <f t="shared" si="4"/>
        <v>694.93</v>
      </c>
    </row>
    <row r="33" spans="1:16" s="504" customFormat="1" ht="14.25" x14ac:dyDescent="0.2">
      <c r="A33" s="500">
        <v>180</v>
      </c>
      <c r="B33" s="500">
        <v>0</v>
      </c>
      <c r="C33" s="500" t="s">
        <v>839</v>
      </c>
      <c r="D33" s="500" t="s">
        <v>840</v>
      </c>
      <c r="E33" s="500" t="s">
        <v>805</v>
      </c>
      <c r="F33" s="500"/>
      <c r="G33" s="500" t="s">
        <v>806</v>
      </c>
      <c r="H33" s="500"/>
      <c r="I33" s="508" t="s">
        <v>187</v>
      </c>
      <c r="J33" s="501" t="s">
        <v>544</v>
      </c>
      <c r="K33" s="502">
        <v>0</v>
      </c>
      <c r="L33" s="502">
        <v>579.72</v>
      </c>
      <c r="M33" s="502">
        <v>499.82</v>
      </c>
      <c r="N33" s="502"/>
      <c r="O33" s="502">
        <v>0</v>
      </c>
      <c r="P33" s="502">
        <f t="shared" si="4"/>
        <v>79.900000000000034</v>
      </c>
    </row>
    <row r="34" spans="1:16" s="504" customFormat="1" ht="14.25" x14ac:dyDescent="0.2">
      <c r="A34" s="500">
        <v>215</v>
      </c>
      <c r="B34" s="500">
        <v>0</v>
      </c>
      <c r="C34" s="500" t="s">
        <v>841</v>
      </c>
      <c r="D34" s="500" t="s">
        <v>842</v>
      </c>
      <c r="E34" s="500" t="s">
        <v>799</v>
      </c>
      <c r="F34" s="500"/>
      <c r="G34" s="500" t="s">
        <v>843</v>
      </c>
      <c r="H34" s="500"/>
      <c r="I34" s="508" t="s">
        <v>187</v>
      </c>
      <c r="J34" s="501" t="s">
        <v>544</v>
      </c>
      <c r="K34" s="502">
        <v>0</v>
      </c>
      <c r="L34" s="502">
        <v>464.33</v>
      </c>
      <c r="M34" s="502">
        <v>329.4</v>
      </c>
      <c r="N34" s="502"/>
      <c r="O34" s="502">
        <v>0</v>
      </c>
      <c r="P34" s="502">
        <f t="shared" si="4"/>
        <v>134.93</v>
      </c>
    </row>
    <row r="35" spans="1:16" s="504" customFormat="1" ht="14.25" x14ac:dyDescent="0.2">
      <c r="A35" s="500">
        <v>40</v>
      </c>
      <c r="B35" s="500">
        <v>0</v>
      </c>
      <c r="C35" s="500" t="s">
        <v>844</v>
      </c>
      <c r="D35" s="500" t="s">
        <v>845</v>
      </c>
      <c r="E35" s="500" t="s">
        <v>799</v>
      </c>
      <c r="F35" s="500"/>
      <c r="G35" s="500" t="s">
        <v>799</v>
      </c>
      <c r="H35" s="500"/>
      <c r="I35" s="508" t="s">
        <v>187</v>
      </c>
      <c r="J35" s="501" t="s">
        <v>544</v>
      </c>
      <c r="K35" s="502">
        <v>19</v>
      </c>
      <c r="L35" s="502">
        <v>85</v>
      </c>
      <c r="M35" s="502">
        <v>19</v>
      </c>
      <c r="N35" s="502"/>
      <c r="O35" s="502">
        <v>0</v>
      </c>
      <c r="P35" s="502">
        <f t="shared" si="4"/>
        <v>85</v>
      </c>
    </row>
    <row r="36" spans="1:16" s="504" customFormat="1" ht="14.25" x14ac:dyDescent="0.2">
      <c r="A36" s="500">
        <v>890</v>
      </c>
      <c r="B36" s="500">
        <v>0</v>
      </c>
      <c r="C36" s="500" t="s">
        <v>844</v>
      </c>
      <c r="D36" s="500" t="s">
        <v>846</v>
      </c>
      <c r="E36" s="500" t="s">
        <v>847</v>
      </c>
      <c r="F36" s="500"/>
      <c r="G36" s="500" t="s">
        <v>806</v>
      </c>
      <c r="H36" s="500"/>
      <c r="I36" s="508" t="s">
        <v>187</v>
      </c>
      <c r="J36" s="501" t="s">
        <v>544</v>
      </c>
      <c r="K36" s="502">
        <v>294</v>
      </c>
      <c r="L36" s="502">
        <v>160</v>
      </c>
      <c r="M36" s="502">
        <v>294</v>
      </c>
      <c r="N36" s="502"/>
      <c r="O36" s="502">
        <v>0</v>
      </c>
      <c r="P36" s="502">
        <f t="shared" si="4"/>
        <v>160</v>
      </c>
    </row>
    <row r="37" spans="1:16" s="504" customFormat="1" ht="14.25" x14ac:dyDescent="0.2">
      <c r="A37" s="500">
        <v>530</v>
      </c>
      <c r="B37" s="500">
        <v>0</v>
      </c>
      <c r="C37" s="500" t="s">
        <v>848</v>
      </c>
      <c r="D37" s="500" t="s">
        <v>849</v>
      </c>
      <c r="E37" s="500" t="s">
        <v>850</v>
      </c>
      <c r="F37" s="500"/>
      <c r="G37" s="500" t="s">
        <v>800</v>
      </c>
      <c r="H37" s="500"/>
      <c r="I37" s="508" t="s">
        <v>187</v>
      </c>
      <c r="J37" s="501" t="s">
        <v>544</v>
      </c>
      <c r="K37" s="502">
        <v>158.04</v>
      </c>
      <c r="L37" s="502">
        <v>1046.9100000000001</v>
      </c>
      <c r="M37" s="502">
        <v>991.54</v>
      </c>
      <c r="N37" s="502"/>
      <c r="O37" s="502">
        <v>0</v>
      </c>
      <c r="P37" s="502">
        <f t="shared" si="4"/>
        <v>213.41000000000008</v>
      </c>
    </row>
    <row r="38" spans="1:16" s="504" customFormat="1" ht="14.25" x14ac:dyDescent="0.2">
      <c r="A38" s="500">
        <v>641</v>
      </c>
      <c r="B38" s="500">
        <v>0</v>
      </c>
      <c r="C38" s="500" t="s">
        <v>848</v>
      </c>
      <c r="D38" s="500" t="s">
        <v>851</v>
      </c>
      <c r="E38" s="500" t="s">
        <v>852</v>
      </c>
      <c r="F38" s="500"/>
      <c r="G38" s="500" t="s">
        <v>799</v>
      </c>
      <c r="H38" s="500"/>
      <c r="I38" s="508" t="s">
        <v>187</v>
      </c>
      <c r="J38" s="501" t="s">
        <v>544</v>
      </c>
      <c r="K38" s="502">
        <v>0</v>
      </c>
      <c r="L38" s="502">
        <v>831</v>
      </c>
      <c r="M38" s="502">
        <v>0</v>
      </c>
      <c r="N38" s="502"/>
      <c r="O38" s="502">
        <v>0</v>
      </c>
      <c r="P38" s="502">
        <f t="shared" si="4"/>
        <v>831</v>
      </c>
    </row>
    <row r="39" spans="1:16" s="504" customFormat="1" ht="14.25" x14ac:dyDescent="0.2">
      <c r="A39" s="500">
        <v>840</v>
      </c>
      <c r="B39" s="500">
        <v>0</v>
      </c>
      <c r="C39" s="500" t="s">
        <v>848</v>
      </c>
      <c r="D39" s="500" t="s">
        <v>853</v>
      </c>
      <c r="E39" s="500" t="s">
        <v>805</v>
      </c>
      <c r="F39" s="500"/>
      <c r="G39" s="500" t="s">
        <v>800</v>
      </c>
      <c r="H39" s="500"/>
      <c r="I39" s="508" t="s">
        <v>187</v>
      </c>
      <c r="J39" s="501" t="s">
        <v>544</v>
      </c>
      <c r="K39" s="502">
        <v>188.8</v>
      </c>
      <c r="L39" s="502">
        <v>334.2</v>
      </c>
      <c r="M39" s="502">
        <v>188.8</v>
      </c>
      <c r="N39" s="502"/>
      <c r="O39" s="502">
        <v>0</v>
      </c>
      <c r="P39" s="502">
        <f t="shared" si="4"/>
        <v>334.2</v>
      </c>
    </row>
    <row r="40" spans="1:16" s="504" customFormat="1" ht="14.25" x14ac:dyDescent="0.2">
      <c r="A40" s="500">
        <v>221</v>
      </c>
      <c r="B40" s="500">
        <v>0</v>
      </c>
      <c r="C40" s="500" t="s">
        <v>860</v>
      </c>
      <c r="D40" s="500" t="s">
        <v>861</v>
      </c>
      <c r="E40" s="500" t="s">
        <v>799</v>
      </c>
      <c r="F40" s="500"/>
      <c r="G40" s="500" t="s">
        <v>800</v>
      </c>
      <c r="H40" s="500"/>
      <c r="I40" s="508" t="s">
        <v>187</v>
      </c>
      <c r="J40" s="501" t="s">
        <v>545</v>
      </c>
      <c r="K40" s="502">
        <v>170.8</v>
      </c>
      <c r="L40" s="502">
        <v>170.8</v>
      </c>
      <c r="M40" s="502">
        <v>256.2</v>
      </c>
      <c r="N40" s="502"/>
      <c r="O40" s="502">
        <v>0</v>
      </c>
      <c r="P40" s="502">
        <f t="shared" si="4"/>
        <v>85.400000000000034</v>
      </c>
    </row>
    <row r="41" spans="1:16" s="504" customFormat="1" ht="14.25" x14ac:dyDescent="0.2">
      <c r="A41" s="500">
        <v>230</v>
      </c>
      <c r="B41" s="500">
        <v>0</v>
      </c>
      <c r="C41" s="500" t="s">
        <v>862</v>
      </c>
      <c r="D41" s="500" t="s">
        <v>863</v>
      </c>
      <c r="E41" s="500" t="s">
        <v>799</v>
      </c>
      <c r="F41" s="500"/>
      <c r="G41" s="500" t="s">
        <v>800</v>
      </c>
      <c r="H41" s="500"/>
      <c r="I41" s="508" t="s">
        <v>187</v>
      </c>
      <c r="J41" s="501" t="s">
        <v>545</v>
      </c>
      <c r="K41" s="502">
        <v>235.81</v>
      </c>
      <c r="L41" s="502">
        <v>3548.34</v>
      </c>
      <c r="M41" s="502">
        <v>3530.88</v>
      </c>
      <c r="N41" s="502"/>
      <c r="O41" s="502">
        <v>0</v>
      </c>
      <c r="P41" s="502">
        <f t="shared" si="4"/>
        <v>253.26999999999998</v>
      </c>
    </row>
    <row r="42" spans="1:16" s="504" customFormat="1" ht="14.25" x14ac:dyDescent="0.2">
      <c r="A42" s="500">
        <v>490</v>
      </c>
      <c r="B42" s="500">
        <v>5</v>
      </c>
      <c r="C42" s="500" t="s">
        <v>862</v>
      </c>
      <c r="D42" s="500" t="s">
        <v>864</v>
      </c>
      <c r="E42" s="500" t="s">
        <v>850</v>
      </c>
      <c r="F42" s="500"/>
      <c r="G42" s="500" t="s">
        <v>800</v>
      </c>
      <c r="H42" s="500"/>
      <c r="I42" s="508" t="s">
        <v>187</v>
      </c>
      <c r="J42" s="501" t="s">
        <v>545</v>
      </c>
      <c r="K42" s="502">
        <v>400</v>
      </c>
      <c r="L42" s="502">
        <v>856.1</v>
      </c>
      <c r="M42" s="502">
        <v>1256.0999999999999</v>
      </c>
      <c r="N42" s="502"/>
      <c r="O42" s="502">
        <v>0</v>
      </c>
      <c r="P42" s="502">
        <f t="shared" si="4"/>
        <v>0</v>
      </c>
    </row>
    <row r="43" spans="1:16" s="504" customFormat="1" ht="14.25" x14ac:dyDescent="0.2">
      <c r="A43" s="500">
        <v>230</v>
      </c>
      <c r="B43" s="500">
        <v>1</v>
      </c>
      <c r="C43" s="500" t="s">
        <v>865</v>
      </c>
      <c r="D43" s="500" t="s">
        <v>866</v>
      </c>
      <c r="E43" s="500" t="s">
        <v>799</v>
      </c>
      <c r="F43" s="500"/>
      <c r="G43" s="500" t="s">
        <v>800</v>
      </c>
      <c r="H43" s="500"/>
      <c r="I43" s="508" t="s">
        <v>187</v>
      </c>
      <c r="J43" s="501" t="s">
        <v>545</v>
      </c>
      <c r="K43" s="502">
        <v>282.82</v>
      </c>
      <c r="L43" s="502">
        <v>7348</v>
      </c>
      <c r="M43" s="502">
        <v>6963.28</v>
      </c>
      <c r="N43" s="502"/>
      <c r="O43" s="502">
        <v>0</v>
      </c>
      <c r="P43" s="502">
        <f t="shared" si="4"/>
        <v>667.54</v>
      </c>
    </row>
    <row r="44" spans="1:16" s="504" customFormat="1" ht="14.25" x14ac:dyDescent="0.2">
      <c r="A44" s="500">
        <v>490</v>
      </c>
      <c r="B44" s="500">
        <v>0</v>
      </c>
      <c r="C44" s="500" t="s">
        <v>865</v>
      </c>
      <c r="D44" s="500" t="s">
        <v>867</v>
      </c>
      <c r="E44" s="500" t="s">
        <v>850</v>
      </c>
      <c r="F44" s="500"/>
      <c r="G44" s="500" t="s">
        <v>800</v>
      </c>
      <c r="H44" s="500"/>
      <c r="I44" s="508" t="s">
        <v>187</v>
      </c>
      <c r="J44" s="501" t="s">
        <v>545</v>
      </c>
      <c r="K44" s="502">
        <v>396.75</v>
      </c>
      <c r="L44" s="502">
        <v>2967.88</v>
      </c>
      <c r="M44" s="502">
        <v>3101.2</v>
      </c>
      <c r="N44" s="502"/>
      <c r="O44" s="502">
        <v>0</v>
      </c>
      <c r="P44" s="502">
        <f t="shared" si="4"/>
        <v>263.43000000000029</v>
      </c>
    </row>
    <row r="45" spans="1:16" s="504" customFormat="1" ht="14.25" x14ac:dyDescent="0.2">
      <c r="A45" s="500">
        <v>950</v>
      </c>
      <c r="B45" s="500">
        <v>0</v>
      </c>
      <c r="C45" s="500" t="s">
        <v>865</v>
      </c>
      <c r="D45" s="500" t="s">
        <v>868</v>
      </c>
      <c r="E45" s="500" t="s">
        <v>847</v>
      </c>
      <c r="F45" s="500"/>
      <c r="G45" s="500" t="s">
        <v>805</v>
      </c>
      <c r="H45" s="500"/>
      <c r="I45" s="508" t="s">
        <v>187</v>
      </c>
      <c r="J45" s="501" t="s">
        <v>545</v>
      </c>
      <c r="K45" s="502">
        <v>148.47999999999999</v>
      </c>
      <c r="L45" s="502">
        <v>836.59</v>
      </c>
      <c r="M45" s="502">
        <v>919.76</v>
      </c>
      <c r="N45" s="502"/>
      <c r="O45" s="502">
        <v>0</v>
      </c>
      <c r="P45" s="502">
        <f t="shared" si="4"/>
        <v>65.310000000000059</v>
      </c>
    </row>
    <row r="46" spans="1:16" s="504" customFormat="1" ht="14.25" x14ac:dyDescent="0.2">
      <c r="A46" s="500">
        <v>230</v>
      </c>
      <c r="B46" s="500">
        <v>4</v>
      </c>
      <c r="C46" s="500" t="s">
        <v>869</v>
      </c>
      <c r="D46" s="500" t="s">
        <v>870</v>
      </c>
      <c r="E46" s="500" t="s">
        <v>799</v>
      </c>
      <c r="F46" s="500"/>
      <c r="G46" s="500" t="s">
        <v>800</v>
      </c>
      <c r="H46" s="500"/>
      <c r="I46" s="508" t="s">
        <v>187</v>
      </c>
      <c r="J46" s="501" t="s">
        <v>545</v>
      </c>
      <c r="K46" s="502">
        <v>47.18</v>
      </c>
      <c r="L46" s="502">
        <v>436.73</v>
      </c>
      <c r="M46" s="502">
        <v>417.69</v>
      </c>
      <c r="N46" s="502"/>
      <c r="O46" s="502">
        <v>0</v>
      </c>
      <c r="P46" s="502">
        <f t="shared" si="4"/>
        <v>66.220000000000027</v>
      </c>
    </row>
    <row r="47" spans="1:16" s="504" customFormat="1" ht="14.25" x14ac:dyDescent="0.2">
      <c r="A47" s="500">
        <v>490</v>
      </c>
      <c r="B47" s="500">
        <v>2</v>
      </c>
      <c r="C47" s="500" t="s">
        <v>869</v>
      </c>
      <c r="D47" s="500" t="s">
        <v>871</v>
      </c>
      <c r="E47" s="500" t="s">
        <v>850</v>
      </c>
      <c r="F47" s="500"/>
      <c r="G47" s="500" t="s">
        <v>800</v>
      </c>
      <c r="H47" s="500"/>
      <c r="I47" s="508" t="s">
        <v>187</v>
      </c>
      <c r="J47" s="501" t="s">
        <v>545</v>
      </c>
      <c r="K47" s="502">
        <v>0</v>
      </c>
      <c r="L47" s="502">
        <v>200</v>
      </c>
      <c r="M47" s="502">
        <v>0</v>
      </c>
      <c r="N47" s="502"/>
      <c r="O47" s="502">
        <v>0</v>
      </c>
      <c r="P47" s="502">
        <f t="shared" si="4"/>
        <v>200</v>
      </c>
    </row>
    <row r="48" spans="1:16" s="504" customFormat="1" ht="14.25" x14ac:dyDescent="0.2">
      <c r="A48" s="500">
        <v>650</v>
      </c>
      <c r="B48" s="500">
        <v>0</v>
      </c>
      <c r="C48" s="500" t="s">
        <v>869</v>
      </c>
      <c r="D48" s="500" t="s">
        <v>872</v>
      </c>
      <c r="E48" s="500" t="s">
        <v>852</v>
      </c>
      <c r="F48" s="500"/>
      <c r="G48" s="500" t="s">
        <v>799</v>
      </c>
      <c r="H48" s="500"/>
      <c r="I48" s="508" t="s">
        <v>187</v>
      </c>
      <c r="J48" s="501" t="s">
        <v>545</v>
      </c>
      <c r="K48" s="502">
        <v>295.76</v>
      </c>
      <c r="L48" s="502">
        <v>3499.8</v>
      </c>
      <c r="M48" s="502">
        <v>3583.97</v>
      </c>
      <c r="N48" s="502"/>
      <c r="O48" s="502">
        <v>0</v>
      </c>
      <c r="P48" s="502">
        <f t="shared" si="4"/>
        <v>211.5900000000006</v>
      </c>
    </row>
    <row r="49" spans="1:16" s="504" customFormat="1" ht="14.25" x14ac:dyDescent="0.2">
      <c r="A49" s="500">
        <v>230</v>
      </c>
      <c r="B49" s="500">
        <v>2</v>
      </c>
      <c r="C49" s="500" t="s">
        <v>873</v>
      </c>
      <c r="D49" s="500" t="s">
        <v>874</v>
      </c>
      <c r="E49" s="500" t="s">
        <v>799</v>
      </c>
      <c r="F49" s="500"/>
      <c r="G49" s="500" t="s">
        <v>800</v>
      </c>
      <c r="H49" s="500"/>
      <c r="I49" s="508" t="s">
        <v>187</v>
      </c>
      <c r="J49" s="501" t="s">
        <v>545</v>
      </c>
      <c r="K49" s="502">
        <v>579.11</v>
      </c>
      <c r="L49" s="502">
        <v>5083.18</v>
      </c>
      <c r="M49" s="502">
        <v>5363.68</v>
      </c>
      <c r="N49" s="502"/>
      <c r="O49" s="502">
        <v>0</v>
      </c>
      <c r="P49" s="502">
        <f t="shared" si="4"/>
        <v>298.60999999999967</v>
      </c>
    </row>
    <row r="50" spans="1:16" s="504" customFormat="1" ht="14.25" x14ac:dyDescent="0.2">
      <c r="A50" s="500">
        <v>490</v>
      </c>
      <c r="B50" s="500">
        <v>1</v>
      </c>
      <c r="C50" s="500" t="s">
        <v>873</v>
      </c>
      <c r="D50" s="500" t="s">
        <v>875</v>
      </c>
      <c r="E50" s="500" t="s">
        <v>850</v>
      </c>
      <c r="F50" s="500"/>
      <c r="G50" s="500" t="s">
        <v>800</v>
      </c>
      <c r="H50" s="500"/>
      <c r="I50" s="508" t="s">
        <v>187</v>
      </c>
      <c r="J50" s="501" t="s">
        <v>545</v>
      </c>
      <c r="K50" s="502">
        <v>0</v>
      </c>
      <c r="L50" s="502">
        <v>1874.56</v>
      </c>
      <c r="M50" s="502">
        <v>1454.44</v>
      </c>
      <c r="N50" s="502"/>
      <c r="O50" s="502">
        <v>0</v>
      </c>
      <c r="P50" s="502">
        <f t="shared" si="4"/>
        <v>420.11999999999989</v>
      </c>
    </row>
    <row r="51" spans="1:16" s="504" customFormat="1" ht="14.25" x14ac:dyDescent="0.2">
      <c r="A51" s="500">
        <v>230</v>
      </c>
      <c r="B51" s="500">
        <v>8</v>
      </c>
      <c r="C51" s="500" t="s">
        <v>876</v>
      </c>
      <c r="D51" s="500" t="s">
        <v>877</v>
      </c>
      <c r="E51" s="500" t="s">
        <v>799</v>
      </c>
      <c r="F51" s="500"/>
      <c r="G51" s="500" t="s">
        <v>800</v>
      </c>
      <c r="H51" s="500"/>
      <c r="I51" s="508" t="s">
        <v>187</v>
      </c>
      <c r="J51" s="501" t="s">
        <v>561</v>
      </c>
      <c r="K51" s="502">
        <v>465.93</v>
      </c>
      <c r="L51" s="502">
        <v>3122.43</v>
      </c>
      <c r="M51" s="502">
        <v>3058.77</v>
      </c>
      <c r="N51" s="502"/>
      <c r="O51" s="502">
        <v>0</v>
      </c>
      <c r="P51" s="502">
        <f t="shared" si="4"/>
        <v>529.58999999999969</v>
      </c>
    </row>
    <row r="52" spans="1:16" s="504" customFormat="1" ht="14.25" x14ac:dyDescent="0.2">
      <c r="A52" s="500">
        <v>210</v>
      </c>
      <c r="B52" s="500">
        <v>0</v>
      </c>
      <c r="C52" s="500" t="s">
        <v>878</v>
      </c>
      <c r="D52" s="500" t="s">
        <v>879</v>
      </c>
      <c r="E52" s="500" t="s">
        <v>799</v>
      </c>
      <c r="F52" s="500"/>
      <c r="G52" s="500" t="s">
        <v>799</v>
      </c>
      <c r="H52" s="500"/>
      <c r="I52" s="508" t="s">
        <v>187</v>
      </c>
      <c r="J52" s="501" t="s">
        <v>561</v>
      </c>
      <c r="K52" s="502">
        <v>1185.8399999999999</v>
      </c>
      <c r="L52" s="502">
        <v>1300</v>
      </c>
      <c r="M52" s="502">
        <v>2485.84</v>
      </c>
      <c r="N52" s="502"/>
      <c r="O52" s="502">
        <v>0</v>
      </c>
      <c r="P52" s="502">
        <f t="shared" si="4"/>
        <v>0</v>
      </c>
    </row>
    <row r="53" spans="1:16" s="504" customFormat="1" ht="14.25" x14ac:dyDescent="0.2">
      <c r="A53" s="500">
        <v>710</v>
      </c>
      <c r="B53" s="500">
        <v>0</v>
      </c>
      <c r="C53" s="500" t="s">
        <v>880</v>
      </c>
      <c r="D53" s="500" t="s">
        <v>881</v>
      </c>
      <c r="E53" s="500" t="s">
        <v>836</v>
      </c>
      <c r="F53" s="500"/>
      <c r="G53" s="500" t="s">
        <v>829</v>
      </c>
      <c r="H53" s="500"/>
      <c r="I53" s="508" t="s">
        <v>187</v>
      </c>
      <c r="J53" s="501" t="s">
        <v>545</v>
      </c>
      <c r="K53" s="502">
        <v>571</v>
      </c>
      <c r="L53" s="502">
        <v>523.02</v>
      </c>
      <c r="M53" s="502">
        <v>875.02</v>
      </c>
      <c r="N53" s="502"/>
      <c r="O53" s="502">
        <v>0</v>
      </c>
      <c r="P53" s="502">
        <f t="shared" si="4"/>
        <v>219</v>
      </c>
    </row>
    <row r="54" spans="1:16" s="504" customFormat="1" ht="14.25" x14ac:dyDescent="0.2">
      <c r="A54" s="500">
        <v>390</v>
      </c>
      <c r="B54" s="500">
        <v>0</v>
      </c>
      <c r="C54" s="500" t="s">
        <v>882</v>
      </c>
      <c r="D54" s="500" t="s">
        <v>883</v>
      </c>
      <c r="E54" s="500" t="s">
        <v>850</v>
      </c>
      <c r="F54" s="500"/>
      <c r="G54" s="500" t="s">
        <v>800</v>
      </c>
      <c r="H54" s="500"/>
      <c r="I54" s="508" t="s">
        <v>187</v>
      </c>
      <c r="J54" s="501" t="s">
        <v>545</v>
      </c>
      <c r="K54" s="502">
        <v>5306.2</v>
      </c>
      <c r="L54" s="502">
        <v>4861.12</v>
      </c>
      <c r="M54" s="502">
        <v>9286.9699999999993</v>
      </c>
      <c r="N54" s="502"/>
      <c r="O54" s="502">
        <v>0.5</v>
      </c>
      <c r="P54" s="502">
        <f t="shared" si="4"/>
        <v>879.85000000000036</v>
      </c>
    </row>
    <row r="55" spans="1:16" s="504" customFormat="1" ht="14.25" x14ac:dyDescent="0.2">
      <c r="A55" s="500">
        <v>690</v>
      </c>
      <c r="B55" s="500">
        <v>0</v>
      </c>
      <c r="C55" s="500" t="s">
        <v>884</v>
      </c>
      <c r="D55" s="500" t="s">
        <v>885</v>
      </c>
      <c r="E55" s="500" t="s">
        <v>836</v>
      </c>
      <c r="F55" s="500"/>
      <c r="G55" s="500" t="s">
        <v>829</v>
      </c>
      <c r="H55" s="500"/>
      <c r="I55" s="508" t="s">
        <v>187</v>
      </c>
      <c r="J55" s="501" t="s">
        <v>545</v>
      </c>
      <c r="K55" s="502">
        <v>336.65</v>
      </c>
      <c r="L55" s="502">
        <v>1362.07</v>
      </c>
      <c r="M55" s="502">
        <v>1359.57</v>
      </c>
      <c r="N55" s="502"/>
      <c r="O55" s="502">
        <v>0</v>
      </c>
      <c r="P55" s="502">
        <f t="shared" si="4"/>
        <v>339.14999999999986</v>
      </c>
    </row>
    <row r="56" spans="1:16" s="504" customFormat="1" ht="14.25" x14ac:dyDescent="0.2">
      <c r="A56" s="500">
        <v>230</v>
      </c>
      <c r="B56" s="500">
        <v>11</v>
      </c>
      <c r="C56" s="500" t="s">
        <v>891</v>
      </c>
      <c r="D56" s="500" t="s">
        <v>892</v>
      </c>
      <c r="E56" s="500" t="s">
        <v>799</v>
      </c>
      <c r="F56" s="500"/>
      <c r="G56" s="500" t="s">
        <v>826</v>
      </c>
      <c r="H56" s="500"/>
      <c r="I56" s="508" t="s">
        <v>187</v>
      </c>
      <c r="J56" s="501" t="s">
        <v>545</v>
      </c>
      <c r="K56" s="502">
        <v>488</v>
      </c>
      <c r="L56" s="502">
        <v>7844.6</v>
      </c>
      <c r="M56" s="502">
        <v>7673.8</v>
      </c>
      <c r="N56" s="502"/>
      <c r="O56" s="502">
        <v>0</v>
      </c>
      <c r="P56" s="502">
        <f t="shared" si="4"/>
        <v>658.80000000000018</v>
      </c>
    </row>
    <row r="57" spans="1:16" s="504" customFormat="1" ht="14.25" x14ac:dyDescent="0.2">
      <c r="A57" s="500">
        <v>586</v>
      </c>
      <c r="B57" s="500">
        <v>0</v>
      </c>
      <c r="C57" s="500" t="s">
        <v>893</v>
      </c>
      <c r="D57" s="500" t="s">
        <v>894</v>
      </c>
      <c r="E57" s="500" t="s">
        <v>850</v>
      </c>
      <c r="F57" s="500"/>
      <c r="G57" s="500" t="s">
        <v>852</v>
      </c>
      <c r="H57" s="500"/>
      <c r="I57" s="508" t="s">
        <v>187</v>
      </c>
      <c r="J57" s="501" t="s">
        <v>545</v>
      </c>
      <c r="K57" s="502">
        <v>545.6</v>
      </c>
      <c r="L57" s="502">
        <v>12467.4</v>
      </c>
      <c r="M57" s="502">
        <v>11814</v>
      </c>
      <c r="N57" s="502"/>
      <c r="O57" s="502">
        <v>0</v>
      </c>
      <c r="P57" s="502">
        <f t="shared" ref="P57:P81" si="5">K57+L57-M57+N57-O57</f>
        <v>1199</v>
      </c>
    </row>
    <row r="58" spans="1:16" s="504" customFormat="1" ht="14.25" x14ac:dyDescent="0.2">
      <c r="A58" s="500">
        <v>800</v>
      </c>
      <c r="B58" s="500">
        <v>0</v>
      </c>
      <c r="C58" s="500" t="s">
        <v>895</v>
      </c>
      <c r="D58" s="500" t="s">
        <v>896</v>
      </c>
      <c r="E58" s="500" t="s">
        <v>805</v>
      </c>
      <c r="F58" s="500"/>
      <c r="G58" s="500" t="s">
        <v>806</v>
      </c>
      <c r="H58" s="500"/>
      <c r="I58" s="508" t="s">
        <v>187</v>
      </c>
      <c r="J58" s="501" t="s">
        <v>545</v>
      </c>
      <c r="K58" s="502">
        <v>1621.3</v>
      </c>
      <c r="L58" s="502">
        <v>17572.32</v>
      </c>
      <c r="M58" s="502">
        <v>19193.62</v>
      </c>
      <c r="N58" s="502"/>
      <c r="O58" s="502">
        <v>0</v>
      </c>
      <c r="P58" s="502">
        <f t="shared" si="5"/>
        <v>0</v>
      </c>
    </row>
    <row r="59" spans="1:16" s="504" customFormat="1" ht="14.25" x14ac:dyDescent="0.2">
      <c r="A59" s="500">
        <v>720</v>
      </c>
      <c r="B59" s="500">
        <v>0</v>
      </c>
      <c r="C59" s="500" t="s">
        <v>897</v>
      </c>
      <c r="D59" s="500" t="s">
        <v>898</v>
      </c>
      <c r="E59" s="500" t="s">
        <v>836</v>
      </c>
      <c r="F59" s="500"/>
      <c r="G59" s="500" t="s">
        <v>829</v>
      </c>
      <c r="H59" s="500"/>
      <c r="I59" s="508" t="s">
        <v>187</v>
      </c>
      <c r="J59" s="501" t="s">
        <v>545</v>
      </c>
      <c r="K59" s="502">
        <v>357.63</v>
      </c>
      <c r="L59" s="502">
        <v>27963.39</v>
      </c>
      <c r="M59" s="502">
        <v>27430.73</v>
      </c>
      <c r="N59" s="502"/>
      <c r="O59" s="502">
        <v>122.18</v>
      </c>
      <c r="P59" s="502">
        <f t="shared" si="5"/>
        <v>768.11000000000081</v>
      </c>
    </row>
    <row r="60" spans="1:16" s="504" customFormat="1" ht="14.25" x14ac:dyDescent="0.2">
      <c r="A60" s="500">
        <v>590</v>
      </c>
      <c r="B60" s="500">
        <v>0</v>
      </c>
      <c r="C60" s="500" t="s">
        <v>899</v>
      </c>
      <c r="D60" s="500" t="s">
        <v>900</v>
      </c>
      <c r="E60" s="500" t="s">
        <v>850</v>
      </c>
      <c r="F60" s="500"/>
      <c r="G60" s="500" t="s">
        <v>852</v>
      </c>
      <c r="H60" s="500"/>
      <c r="I60" s="508" t="s">
        <v>187</v>
      </c>
      <c r="J60" s="501" t="s">
        <v>545</v>
      </c>
      <c r="K60" s="502">
        <v>0</v>
      </c>
      <c r="L60" s="502">
        <v>2500</v>
      </c>
      <c r="M60" s="502">
        <v>2500</v>
      </c>
      <c r="N60" s="502"/>
      <c r="O60" s="502">
        <v>0</v>
      </c>
      <c r="P60" s="502">
        <f t="shared" si="5"/>
        <v>0</v>
      </c>
    </row>
    <row r="61" spans="1:16" s="504" customFormat="1" ht="14.25" x14ac:dyDescent="0.2">
      <c r="A61" s="500">
        <v>700</v>
      </c>
      <c r="B61" s="500">
        <v>0</v>
      </c>
      <c r="C61" s="500" t="s">
        <v>899</v>
      </c>
      <c r="D61" s="500" t="s">
        <v>901</v>
      </c>
      <c r="E61" s="500" t="s">
        <v>836</v>
      </c>
      <c r="F61" s="500"/>
      <c r="G61" s="500" t="s">
        <v>829</v>
      </c>
      <c r="H61" s="500"/>
      <c r="I61" s="508" t="s">
        <v>187</v>
      </c>
      <c r="J61" s="501" t="s">
        <v>545</v>
      </c>
      <c r="K61" s="502">
        <v>4000</v>
      </c>
      <c r="L61" s="502">
        <v>1000</v>
      </c>
      <c r="M61" s="502">
        <v>4000</v>
      </c>
      <c r="N61" s="502"/>
      <c r="O61" s="502">
        <v>0</v>
      </c>
      <c r="P61" s="502">
        <f t="shared" si="5"/>
        <v>1000</v>
      </c>
    </row>
    <row r="62" spans="1:16" s="504" customFormat="1" ht="14.25" x14ac:dyDescent="0.2">
      <c r="A62" s="500">
        <v>219</v>
      </c>
      <c r="B62" s="500">
        <v>0</v>
      </c>
      <c r="C62" s="500" t="s">
        <v>906</v>
      </c>
      <c r="D62" s="500" t="s">
        <v>907</v>
      </c>
      <c r="E62" s="500" t="s">
        <v>799</v>
      </c>
      <c r="F62" s="500"/>
      <c r="G62" s="500" t="s">
        <v>843</v>
      </c>
      <c r="H62" s="500"/>
      <c r="I62" s="508" t="s">
        <v>187</v>
      </c>
      <c r="J62" s="501" t="s">
        <v>545</v>
      </c>
      <c r="K62" s="502">
        <v>1350.64</v>
      </c>
      <c r="L62" s="502">
        <v>2781.6</v>
      </c>
      <c r="M62" s="502">
        <v>2223.4499999999998</v>
      </c>
      <c r="N62" s="502"/>
      <c r="O62" s="502">
        <v>42.19</v>
      </c>
      <c r="P62" s="502">
        <f t="shared" si="5"/>
        <v>1866.6</v>
      </c>
    </row>
    <row r="63" spans="1:16" s="504" customFormat="1" ht="14.25" x14ac:dyDescent="0.2">
      <c r="A63" s="500">
        <v>220</v>
      </c>
      <c r="B63" s="500">
        <v>0</v>
      </c>
      <c r="C63" s="500" t="s">
        <v>906</v>
      </c>
      <c r="D63" s="500" t="s">
        <v>908</v>
      </c>
      <c r="E63" s="500" t="s">
        <v>799</v>
      </c>
      <c r="F63" s="500"/>
      <c r="G63" s="500" t="s">
        <v>843</v>
      </c>
      <c r="H63" s="500"/>
      <c r="I63" s="508" t="s">
        <v>187</v>
      </c>
      <c r="J63" s="501" t="s">
        <v>545</v>
      </c>
      <c r="K63" s="502">
        <v>0</v>
      </c>
      <c r="L63" s="502">
        <v>31164.65</v>
      </c>
      <c r="M63" s="502">
        <v>27510.3</v>
      </c>
      <c r="N63" s="502"/>
      <c r="O63" s="502">
        <v>0</v>
      </c>
      <c r="P63" s="502">
        <f t="shared" si="5"/>
        <v>3654.3500000000022</v>
      </c>
    </row>
    <row r="64" spans="1:16" s="504" customFormat="1" ht="14.25" x14ac:dyDescent="0.2">
      <c r="A64" s="500">
        <v>225</v>
      </c>
      <c r="B64" s="500">
        <v>0</v>
      </c>
      <c r="C64" s="500" t="s">
        <v>906</v>
      </c>
      <c r="D64" s="500" t="s">
        <v>909</v>
      </c>
      <c r="E64" s="500" t="s">
        <v>799</v>
      </c>
      <c r="F64" s="500"/>
      <c r="G64" s="500" t="s">
        <v>800</v>
      </c>
      <c r="H64" s="500"/>
      <c r="I64" s="508" t="s">
        <v>187</v>
      </c>
      <c r="J64" s="501" t="s">
        <v>545</v>
      </c>
      <c r="K64" s="502">
        <v>0</v>
      </c>
      <c r="L64" s="502">
        <v>4636</v>
      </c>
      <c r="M64" s="502">
        <v>4636</v>
      </c>
      <c r="N64" s="502"/>
      <c r="O64" s="502">
        <v>0</v>
      </c>
      <c r="P64" s="502">
        <f t="shared" si="5"/>
        <v>0</v>
      </c>
    </row>
    <row r="65" spans="1:16" s="504" customFormat="1" ht="14.25" x14ac:dyDescent="0.2">
      <c r="A65" s="500">
        <v>230</v>
      </c>
      <c r="B65" s="500">
        <v>6</v>
      </c>
      <c r="C65" s="500" t="s">
        <v>906</v>
      </c>
      <c r="D65" s="500" t="s">
        <v>910</v>
      </c>
      <c r="E65" s="500" t="s">
        <v>799</v>
      </c>
      <c r="F65" s="500"/>
      <c r="G65" s="500" t="s">
        <v>836</v>
      </c>
      <c r="H65" s="500"/>
      <c r="I65" s="508" t="s">
        <v>187</v>
      </c>
      <c r="J65" s="501" t="s">
        <v>545</v>
      </c>
      <c r="K65" s="502">
        <v>527.04</v>
      </c>
      <c r="L65" s="502">
        <v>824.72</v>
      </c>
      <c r="M65" s="502">
        <v>1351.76</v>
      </c>
      <c r="N65" s="502"/>
      <c r="O65" s="502">
        <v>0</v>
      </c>
      <c r="P65" s="502">
        <f t="shared" si="5"/>
        <v>0</v>
      </c>
    </row>
    <row r="66" spans="1:16" s="504" customFormat="1" ht="14.25" x14ac:dyDescent="0.2">
      <c r="A66" s="500">
        <v>90</v>
      </c>
      <c r="B66" s="500">
        <v>0</v>
      </c>
      <c r="C66" s="500" t="s">
        <v>960</v>
      </c>
      <c r="D66" s="500" t="s">
        <v>961</v>
      </c>
      <c r="E66" s="500" t="s">
        <v>799</v>
      </c>
      <c r="F66" s="500"/>
      <c r="G66" s="500" t="s">
        <v>826</v>
      </c>
      <c r="H66" s="500"/>
      <c r="I66" s="508" t="s">
        <v>187</v>
      </c>
      <c r="J66" s="506" t="s">
        <v>546</v>
      </c>
      <c r="K66" s="502">
        <v>1669.76</v>
      </c>
      <c r="L66" s="502">
        <v>3132.39</v>
      </c>
      <c r="M66" s="502">
        <v>4424.07</v>
      </c>
      <c r="N66" s="502"/>
      <c r="O66" s="502">
        <v>378.08</v>
      </c>
      <c r="P66" s="502">
        <f t="shared" si="5"/>
        <v>0</v>
      </c>
    </row>
    <row r="67" spans="1:16" s="504" customFormat="1" ht="14.25" x14ac:dyDescent="0.2">
      <c r="A67" s="500">
        <v>1072</v>
      </c>
      <c r="B67" s="500">
        <v>0</v>
      </c>
      <c r="C67" s="500" t="s">
        <v>965</v>
      </c>
      <c r="D67" s="500" t="s">
        <v>966</v>
      </c>
      <c r="E67" s="500" t="s">
        <v>843</v>
      </c>
      <c r="F67" s="500"/>
      <c r="G67" s="500" t="s">
        <v>799</v>
      </c>
      <c r="H67" s="500"/>
      <c r="I67" s="508" t="s">
        <v>187</v>
      </c>
      <c r="J67" s="507" t="s">
        <v>785</v>
      </c>
      <c r="K67" s="502">
        <v>133988.42000000001</v>
      </c>
      <c r="L67" s="502">
        <v>0</v>
      </c>
      <c r="M67" s="502">
        <v>66082.64</v>
      </c>
      <c r="N67" s="502"/>
      <c r="O67" s="502">
        <v>0</v>
      </c>
      <c r="P67" s="502">
        <f t="shared" si="5"/>
        <v>67905.780000000013</v>
      </c>
    </row>
    <row r="68" spans="1:16" s="504" customFormat="1" ht="14.25" x14ac:dyDescent="0.2">
      <c r="A68" s="500">
        <v>1088</v>
      </c>
      <c r="B68" s="500">
        <v>0</v>
      </c>
      <c r="C68" s="500" t="s">
        <v>965</v>
      </c>
      <c r="D68" s="500" t="s">
        <v>967</v>
      </c>
      <c r="E68" s="500" t="s">
        <v>799</v>
      </c>
      <c r="F68" s="500"/>
      <c r="G68" s="500" t="s">
        <v>800</v>
      </c>
      <c r="H68" s="500"/>
      <c r="I68" s="508" t="s">
        <v>187</v>
      </c>
      <c r="J68" s="507" t="s">
        <v>785</v>
      </c>
      <c r="K68" s="502">
        <v>4999.5600000000004</v>
      </c>
      <c r="L68" s="502">
        <v>0</v>
      </c>
      <c r="M68" s="502">
        <v>0</v>
      </c>
      <c r="N68" s="502"/>
      <c r="O68" s="502">
        <v>0</v>
      </c>
      <c r="P68" s="502">
        <f t="shared" si="5"/>
        <v>4999.5600000000004</v>
      </c>
    </row>
    <row r="69" spans="1:16" s="504" customFormat="1" ht="14.25" x14ac:dyDescent="0.2">
      <c r="A69" s="500">
        <v>1094</v>
      </c>
      <c r="B69" s="500">
        <v>0</v>
      </c>
      <c r="C69" s="500" t="s">
        <v>965</v>
      </c>
      <c r="D69" s="500" t="s">
        <v>968</v>
      </c>
      <c r="E69" s="500" t="s">
        <v>836</v>
      </c>
      <c r="F69" s="500"/>
      <c r="G69" s="500" t="s">
        <v>829</v>
      </c>
      <c r="H69" s="500"/>
      <c r="I69" s="508" t="s">
        <v>187</v>
      </c>
      <c r="J69" s="507" t="s">
        <v>785</v>
      </c>
      <c r="K69" s="502">
        <v>5384.4</v>
      </c>
      <c r="L69" s="502">
        <v>0</v>
      </c>
      <c r="M69" s="502">
        <v>0</v>
      </c>
      <c r="N69" s="502"/>
      <c r="O69" s="502">
        <v>0</v>
      </c>
      <c r="P69" s="502">
        <f t="shared" si="5"/>
        <v>5384.4</v>
      </c>
    </row>
    <row r="70" spans="1:16" s="504" customFormat="1" ht="14.25" x14ac:dyDescent="0.2">
      <c r="A70" s="500">
        <v>1108</v>
      </c>
      <c r="B70" s="500">
        <v>0</v>
      </c>
      <c r="C70" s="500" t="s">
        <v>965</v>
      </c>
      <c r="D70" s="500" t="s">
        <v>969</v>
      </c>
      <c r="E70" s="500" t="s">
        <v>843</v>
      </c>
      <c r="F70" s="500"/>
      <c r="G70" s="500" t="s">
        <v>799</v>
      </c>
      <c r="H70" s="500"/>
      <c r="I70" s="508" t="s">
        <v>187</v>
      </c>
      <c r="J70" s="507" t="s">
        <v>785</v>
      </c>
      <c r="K70" s="502">
        <v>0</v>
      </c>
      <c r="L70" s="502">
        <v>21960</v>
      </c>
      <c r="M70" s="502">
        <v>21960</v>
      </c>
      <c r="N70" s="502"/>
      <c r="O70" s="502">
        <v>0</v>
      </c>
      <c r="P70" s="502">
        <f t="shared" si="5"/>
        <v>0</v>
      </c>
    </row>
    <row r="71" spans="1:16" s="504" customFormat="1" ht="14.25" x14ac:dyDescent="0.2">
      <c r="A71" s="500">
        <v>1116</v>
      </c>
      <c r="B71" s="500">
        <v>0</v>
      </c>
      <c r="C71" s="500" t="s">
        <v>965</v>
      </c>
      <c r="D71" s="500" t="s">
        <v>970</v>
      </c>
      <c r="E71" s="500" t="s">
        <v>843</v>
      </c>
      <c r="F71" s="500"/>
      <c r="G71" s="500" t="s">
        <v>799</v>
      </c>
      <c r="H71" s="500"/>
      <c r="I71" s="508" t="s">
        <v>187</v>
      </c>
      <c r="J71" s="507" t="s">
        <v>785</v>
      </c>
      <c r="K71" s="502">
        <v>243041</v>
      </c>
      <c r="L71" s="502">
        <v>0</v>
      </c>
      <c r="M71" s="502">
        <v>165059.63</v>
      </c>
      <c r="N71" s="502"/>
      <c r="O71" s="502">
        <v>0</v>
      </c>
      <c r="P71" s="502">
        <f t="shared" si="5"/>
        <v>77981.37</v>
      </c>
    </row>
    <row r="72" spans="1:16" s="504" customFormat="1" ht="14.25" x14ac:dyDescent="0.2">
      <c r="A72" s="500">
        <v>1140</v>
      </c>
      <c r="B72" s="500">
        <v>0</v>
      </c>
      <c r="C72" s="500" t="s">
        <v>965</v>
      </c>
      <c r="D72" s="500" t="s">
        <v>971</v>
      </c>
      <c r="E72" s="500" t="s">
        <v>843</v>
      </c>
      <c r="F72" s="500"/>
      <c r="G72" s="500" t="s">
        <v>799</v>
      </c>
      <c r="H72" s="500"/>
      <c r="I72" s="508" t="s">
        <v>187</v>
      </c>
      <c r="J72" s="507" t="s">
        <v>785</v>
      </c>
      <c r="K72" s="502">
        <v>0</v>
      </c>
      <c r="L72" s="502">
        <v>12034.68</v>
      </c>
      <c r="M72" s="502">
        <v>9200.5400000000009</v>
      </c>
      <c r="N72" s="502"/>
      <c r="O72" s="502">
        <v>0</v>
      </c>
      <c r="P72" s="502">
        <f t="shared" si="5"/>
        <v>2834.1399999999994</v>
      </c>
    </row>
    <row r="73" spans="1:16" s="504" customFormat="1" ht="14.25" x14ac:dyDescent="0.2">
      <c r="A73" s="500">
        <v>1143</v>
      </c>
      <c r="B73" s="500">
        <v>0</v>
      </c>
      <c r="C73" s="500" t="s">
        <v>965</v>
      </c>
      <c r="D73" s="500" t="s">
        <v>972</v>
      </c>
      <c r="E73" s="500" t="s">
        <v>836</v>
      </c>
      <c r="F73" s="500"/>
      <c r="G73" s="500" t="s">
        <v>829</v>
      </c>
      <c r="H73" s="500"/>
      <c r="I73" s="508" t="s">
        <v>187</v>
      </c>
      <c r="J73" s="507" t="s">
        <v>785</v>
      </c>
      <c r="K73" s="502">
        <v>3937</v>
      </c>
      <c r="L73" s="502">
        <v>100000</v>
      </c>
      <c r="M73" s="502">
        <v>4440.8</v>
      </c>
      <c r="N73" s="502"/>
      <c r="O73" s="502">
        <v>0</v>
      </c>
      <c r="P73" s="502">
        <f t="shared" si="5"/>
        <v>99496.2</v>
      </c>
    </row>
    <row r="74" spans="1:16" s="504" customFormat="1" ht="14.25" x14ac:dyDescent="0.2">
      <c r="A74" s="500">
        <v>1004</v>
      </c>
      <c r="B74" s="500">
        <v>0</v>
      </c>
      <c r="C74" s="500" t="s">
        <v>973</v>
      </c>
      <c r="D74" s="500" t="s">
        <v>974</v>
      </c>
      <c r="E74" s="500" t="s">
        <v>843</v>
      </c>
      <c r="F74" s="500"/>
      <c r="G74" s="500" t="s">
        <v>799</v>
      </c>
      <c r="H74" s="500"/>
      <c r="I74" s="508" t="s">
        <v>187</v>
      </c>
      <c r="J74" s="507" t="s">
        <v>785</v>
      </c>
      <c r="K74" s="502">
        <v>224484.65</v>
      </c>
      <c r="L74" s="502">
        <v>0</v>
      </c>
      <c r="M74" s="502">
        <v>0</v>
      </c>
      <c r="N74" s="502"/>
      <c r="O74" s="502">
        <v>0</v>
      </c>
      <c r="P74" s="502">
        <f t="shared" si="5"/>
        <v>224484.65</v>
      </c>
    </row>
    <row r="75" spans="1:16" s="504" customFormat="1" ht="14.25" x14ac:dyDescent="0.2">
      <c r="A75" s="500">
        <v>1117</v>
      </c>
      <c r="B75" s="500">
        <v>0</v>
      </c>
      <c r="C75" s="500" t="s">
        <v>975</v>
      </c>
      <c r="D75" s="500" t="s">
        <v>976</v>
      </c>
      <c r="E75" s="500" t="s">
        <v>977</v>
      </c>
      <c r="F75" s="500"/>
      <c r="G75" s="500" t="s">
        <v>799</v>
      </c>
      <c r="H75" s="500"/>
      <c r="I75" s="508" t="s">
        <v>187</v>
      </c>
      <c r="J75" s="507" t="s">
        <v>785</v>
      </c>
      <c r="K75" s="502">
        <v>14030</v>
      </c>
      <c r="L75" s="502">
        <v>0</v>
      </c>
      <c r="M75" s="502">
        <v>14030</v>
      </c>
      <c r="N75" s="502"/>
      <c r="O75" s="502">
        <v>0</v>
      </c>
      <c r="P75" s="502">
        <f t="shared" si="5"/>
        <v>0</v>
      </c>
    </row>
    <row r="76" spans="1:16" s="504" customFormat="1" ht="14.25" x14ac:dyDescent="0.2">
      <c r="A76" s="500">
        <v>1028</v>
      </c>
      <c r="B76" s="500">
        <v>0</v>
      </c>
      <c r="C76" s="500" t="s">
        <v>978</v>
      </c>
      <c r="D76" s="500" t="s">
        <v>979</v>
      </c>
      <c r="E76" s="500" t="s">
        <v>836</v>
      </c>
      <c r="F76" s="500"/>
      <c r="G76" s="500" t="s">
        <v>829</v>
      </c>
      <c r="H76" s="500"/>
      <c r="I76" s="508" t="s">
        <v>187</v>
      </c>
      <c r="J76" s="507" t="s">
        <v>785</v>
      </c>
      <c r="K76" s="502">
        <v>45295.98</v>
      </c>
      <c r="L76" s="502">
        <v>0</v>
      </c>
      <c r="M76" s="502">
        <v>45295.98</v>
      </c>
      <c r="N76" s="502"/>
      <c r="O76" s="502">
        <v>0</v>
      </c>
      <c r="P76" s="502">
        <f t="shared" si="5"/>
        <v>0</v>
      </c>
    </row>
    <row r="77" spans="1:16" s="504" customFormat="1" ht="14.25" x14ac:dyDescent="0.2">
      <c r="A77" s="500">
        <v>1045</v>
      </c>
      <c r="B77" s="500">
        <v>0</v>
      </c>
      <c r="C77" s="500" t="s">
        <v>980</v>
      </c>
      <c r="D77" s="500" t="s">
        <v>981</v>
      </c>
      <c r="E77" s="500" t="s">
        <v>843</v>
      </c>
      <c r="F77" s="500"/>
      <c r="G77" s="500" t="s">
        <v>799</v>
      </c>
      <c r="H77" s="500"/>
      <c r="I77" s="508" t="s">
        <v>187</v>
      </c>
      <c r="J77" s="507" t="s">
        <v>785</v>
      </c>
      <c r="K77" s="502">
        <v>0</v>
      </c>
      <c r="L77" s="502">
        <v>140000</v>
      </c>
      <c r="M77" s="502">
        <v>134862.37</v>
      </c>
      <c r="N77" s="502"/>
      <c r="O77" s="502">
        <v>0</v>
      </c>
      <c r="P77" s="502">
        <f t="shared" si="5"/>
        <v>5137.6300000000047</v>
      </c>
    </row>
    <row r="78" spans="1:16" s="504" customFormat="1" ht="14.25" x14ac:dyDescent="0.2">
      <c r="A78" s="500">
        <v>1046</v>
      </c>
      <c r="B78" s="500">
        <v>0</v>
      </c>
      <c r="C78" s="500" t="s">
        <v>980</v>
      </c>
      <c r="D78" s="500" t="s">
        <v>982</v>
      </c>
      <c r="E78" s="500" t="s">
        <v>843</v>
      </c>
      <c r="F78" s="500"/>
      <c r="G78" s="500" t="s">
        <v>799</v>
      </c>
      <c r="H78" s="500"/>
      <c r="I78" s="508" t="s">
        <v>187</v>
      </c>
      <c r="J78" s="507" t="s">
        <v>785</v>
      </c>
      <c r="K78" s="502">
        <v>0</v>
      </c>
      <c r="L78" s="502">
        <v>11500</v>
      </c>
      <c r="M78" s="502">
        <v>10741.49</v>
      </c>
      <c r="N78" s="502"/>
      <c r="O78" s="502">
        <v>0</v>
      </c>
      <c r="P78" s="502">
        <f t="shared" si="5"/>
        <v>758.51000000000022</v>
      </c>
    </row>
    <row r="79" spans="1:16" s="504" customFormat="1" ht="14.25" x14ac:dyDescent="0.2">
      <c r="A79" s="500">
        <v>1069</v>
      </c>
      <c r="B79" s="500">
        <v>0</v>
      </c>
      <c r="C79" s="500" t="s">
        <v>983</v>
      </c>
      <c r="D79" s="500" t="s">
        <v>984</v>
      </c>
      <c r="E79" s="500" t="s">
        <v>799</v>
      </c>
      <c r="F79" s="500"/>
      <c r="G79" s="500" t="s">
        <v>843</v>
      </c>
      <c r="H79" s="500"/>
      <c r="I79" s="508" t="s">
        <v>187</v>
      </c>
      <c r="J79" s="507" t="s">
        <v>785</v>
      </c>
      <c r="K79" s="502">
        <v>0</v>
      </c>
      <c r="L79" s="502">
        <v>33000</v>
      </c>
      <c r="M79" s="502">
        <v>12065.8</v>
      </c>
      <c r="N79" s="502"/>
      <c r="O79" s="502">
        <v>0</v>
      </c>
      <c r="P79" s="502">
        <f t="shared" si="5"/>
        <v>20934.2</v>
      </c>
    </row>
    <row r="80" spans="1:16" s="504" customFormat="1" ht="14.25" x14ac:dyDescent="0.2">
      <c r="A80" s="500">
        <v>1089</v>
      </c>
      <c r="B80" s="500">
        <v>0</v>
      </c>
      <c r="C80" s="500" t="s">
        <v>985</v>
      </c>
      <c r="D80" s="500" t="s">
        <v>986</v>
      </c>
      <c r="E80" s="500" t="s">
        <v>843</v>
      </c>
      <c r="F80" s="500"/>
      <c r="G80" s="500" t="s">
        <v>799</v>
      </c>
      <c r="H80" s="500"/>
      <c r="I80" s="508" t="s">
        <v>187</v>
      </c>
      <c r="J80" s="507" t="s">
        <v>785</v>
      </c>
      <c r="K80" s="502">
        <v>2537.6</v>
      </c>
      <c r="L80" s="502">
        <v>4225.6000000000004</v>
      </c>
      <c r="M80" s="502">
        <v>6763.2</v>
      </c>
      <c r="N80" s="502"/>
      <c r="O80" s="502">
        <v>0</v>
      </c>
      <c r="P80" s="502">
        <f t="shared" si="5"/>
        <v>9.0949470177292824E-13</v>
      </c>
    </row>
    <row r="81" spans="1:16" s="504" customFormat="1" ht="14.25" x14ac:dyDescent="0.2">
      <c r="A81" s="500">
        <v>1315</v>
      </c>
      <c r="B81" s="500">
        <v>0</v>
      </c>
      <c r="C81" s="500" t="s">
        <v>985</v>
      </c>
      <c r="D81" s="500" t="s">
        <v>987</v>
      </c>
      <c r="E81" s="500" t="s">
        <v>843</v>
      </c>
      <c r="F81" s="500"/>
      <c r="G81" s="500" t="s">
        <v>799</v>
      </c>
      <c r="H81" s="500"/>
      <c r="I81" s="508" t="s">
        <v>187</v>
      </c>
      <c r="J81" s="507" t="s">
        <v>785</v>
      </c>
      <c r="K81" s="502">
        <v>1005.55</v>
      </c>
      <c r="L81" s="502">
        <v>0</v>
      </c>
      <c r="M81" s="502">
        <v>0</v>
      </c>
      <c r="N81" s="502"/>
      <c r="O81" s="502">
        <v>0</v>
      </c>
      <c r="P81" s="502">
        <f t="shared" si="5"/>
        <v>1005.55</v>
      </c>
    </row>
    <row r="83" spans="1:16" s="68" customFormat="1" x14ac:dyDescent="0.25">
      <c r="D83" s="68" t="s">
        <v>122</v>
      </c>
      <c r="I83" s="68" t="s">
        <v>187</v>
      </c>
      <c r="K83" s="67">
        <f>SUM(K23:K82)</f>
        <v>707203.91</v>
      </c>
      <c r="L83" s="67">
        <f t="shared" ref="L83:P83" si="6">SUM(L23:L82)</f>
        <v>488497.28</v>
      </c>
      <c r="M83" s="67">
        <f t="shared" si="6"/>
        <v>662367.41999999993</v>
      </c>
      <c r="N83" s="67">
        <f t="shared" si="6"/>
        <v>0</v>
      </c>
      <c r="O83" s="67">
        <f t="shared" si="6"/>
        <v>542.95000000000005</v>
      </c>
      <c r="P83" s="67">
        <f t="shared" si="6"/>
        <v>532790.82000000007</v>
      </c>
    </row>
    <row r="87" spans="1:16" s="68" customFormat="1" x14ac:dyDescent="0.25">
      <c r="D87" s="68" t="s">
        <v>123</v>
      </c>
      <c r="I87" s="68" t="s">
        <v>188</v>
      </c>
      <c r="K87" s="67">
        <f>SUM(K84:K86)</f>
        <v>0</v>
      </c>
      <c r="L87" s="67">
        <f t="shared" ref="L87:P87" si="7">SUM(L84:L86)</f>
        <v>0</v>
      </c>
      <c r="M87" s="67">
        <f t="shared" si="7"/>
        <v>0</v>
      </c>
      <c r="N87" s="67">
        <f t="shared" si="7"/>
        <v>0</v>
      </c>
      <c r="O87" s="67">
        <f t="shared" si="7"/>
        <v>0</v>
      </c>
      <c r="P87" s="67">
        <f t="shared" si="7"/>
        <v>0</v>
      </c>
    </row>
    <row r="91" spans="1:16" s="68" customFormat="1" x14ac:dyDescent="0.25">
      <c r="D91" s="68" t="s">
        <v>178</v>
      </c>
      <c r="I91" s="68" t="s">
        <v>189</v>
      </c>
      <c r="K91" s="67">
        <f>SUM(K88:K90)</f>
        <v>0</v>
      </c>
      <c r="L91" s="67">
        <f t="shared" ref="L91:P91" si="8">SUM(L88:L90)</f>
        <v>0</v>
      </c>
      <c r="M91" s="67">
        <f t="shared" si="8"/>
        <v>0</v>
      </c>
      <c r="N91" s="67">
        <f t="shared" si="8"/>
        <v>0</v>
      </c>
      <c r="O91" s="67">
        <f t="shared" si="8"/>
        <v>0</v>
      </c>
      <c r="P91" s="67">
        <f t="shared" si="8"/>
        <v>0</v>
      </c>
    </row>
    <row r="94" spans="1:16" s="504" customFormat="1" ht="14.25" x14ac:dyDescent="0.2">
      <c r="A94" s="500">
        <v>575</v>
      </c>
      <c r="B94" s="500">
        <v>0</v>
      </c>
      <c r="C94" s="500" t="s">
        <v>914</v>
      </c>
      <c r="D94" s="500" t="s">
        <v>915</v>
      </c>
      <c r="E94" s="500" t="s">
        <v>850</v>
      </c>
      <c r="F94" s="500"/>
      <c r="G94" s="500" t="s">
        <v>800</v>
      </c>
      <c r="H94" s="500"/>
      <c r="I94" s="508" t="s">
        <v>190</v>
      </c>
      <c r="J94" s="506" t="s">
        <v>562</v>
      </c>
      <c r="K94" s="502">
        <v>0</v>
      </c>
      <c r="L94" s="502">
        <v>2930</v>
      </c>
      <c r="M94" s="502">
        <v>0</v>
      </c>
      <c r="N94" s="502"/>
      <c r="O94" s="502">
        <v>0</v>
      </c>
      <c r="P94" s="502">
        <f t="shared" ref="P94:P117" si="9">K94+L94-M94+N94-O94</f>
        <v>2930</v>
      </c>
    </row>
    <row r="95" spans="1:16" s="504" customFormat="1" ht="14.25" x14ac:dyDescent="0.2">
      <c r="A95" s="500">
        <v>337</v>
      </c>
      <c r="B95" s="500">
        <v>0</v>
      </c>
      <c r="C95" s="500" t="s">
        <v>916</v>
      </c>
      <c r="D95" s="500" t="s">
        <v>917</v>
      </c>
      <c r="E95" s="500" t="s">
        <v>799</v>
      </c>
      <c r="F95" s="500"/>
      <c r="G95" s="500" t="s">
        <v>850</v>
      </c>
      <c r="H95" s="500"/>
      <c r="I95" s="508" t="s">
        <v>190</v>
      </c>
      <c r="J95" s="506" t="s">
        <v>562</v>
      </c>
      <c r="K95" s="502">
        <v>0</v>
      </c>
      <c r="L95" s="502">
        <v>5052</v>
      </c>
      <c r="M95" s="502">
        <v>0</v>
      </c>
      <c r="N95" s="502"/>
      <c r="O95" s="502">
        <v>0</v>
      </c>
      <c r="P95" s="502">
        <f t="shared" si="9"/>
        <v>5052</v>
      </c>
    </row>
    <row r="96" spans="1:16" s="504" customFormat="1" ht="14.25" x14ac:dyDescent="0.2">
      <c r="A96" s="500">
        <v>110</v>
      </c>
      <c r="B96" s="500">
        <v>0</v>
      </c>
      <c r="C96" s="500" t="s">
        <v>918</v>
      </c>
      <c r="D96" s="500" t="s">
        <v>919</v>
      </c>
      <c r="E96" s="500" t="s">
        <v>799</v>
      </c>
      <c r="F96" s="500"/>
      <c r="G96" s="500" t="s">
        <v>800</v>
      </c>
      <c r="H96" s="500"/>
      <c r="I96" s="508" t="s">
        <v>190</v>
      </c>
      <c r="J96" s="506" t="s">
        <v>562</v>
      </c>
      <c r="K96" s="502">
        <v>103.94</v>
      </c>
      <c r="L96" s="502">
        <v>3463.94</v>
      </c>
      <c r="M96" s="502">
        <v>3463.94</v>
      </c>
      <c r="N96" s="502"/>
      <c r="O96" s="502">
        <v>0</v>
      </c>
      <c r="P96" s="502">
        <f t="shared" si="9"/>
        <v>103.94000000000005</v>
      </c>
    </row>
    <row r="97" spans="1:16" s="504" customFormat="1" ht="14.25" x14ac:dyDescent="0.2">
      <c r="A97" s="500">
        <v>335</v>
      </c>
      <c r="B97" s="500">
        <v>0</v>
      </c>
      <c r="C97" s="500" t="s">
        <v>920</v>
      </c>
      <c r="D97" s="500" t="s">
        <v>921</v>
      </c>
      <c r="E97" s="500" t="s">
        <v>799</v>
      </c>
      <c r="F97" s="500"/>
      <c r="G97" s="500" t="s">
        <v>850</v>
      </c>
      <c r="H97" s="500"/>
      <c r="I97" s="508" t="s">
        <v>190</v>
      </c>
      <c r="J97" s="506" t="s">
        <v>562</v>
      </c>
      <c r="K97" s="502">
        <v>1907.87</v>
      </c>
      <c r="L97" s="502">
        <v>0</v>
      </c>
      <c r="M97" s="502">
        <v>0</v>
      </c>
      <c r="N97" s="502"/>
      <c r="O97" s="502">
        <v>1907.87</v>
      </c>
      <c r="P97" s="502">
        <f t="shared" si="9"/>
        <v>0</v>
      </c>
    </row>
    <row r="98" spans="1:16" s="504" customFormat="1" ht="14.25" x14ac:dyDescent="0.2">
      <c r="A98" s="500">
        <v>440</v>
      </c>
      <c r="B98" s="500">
        <v>0</v>
      </c>
      <c r="C98" s="500" t="s">
        <v>922</v>
      </c>
      <c r="D98" s="500" t="s">
        <v>923</v>
      </c>
      <c r="E98" s="500" t="s">
        <v>799</v>
      </c>
      <c r="F98" s="500"/>
      <c r="G98" s="500" t="s">
        <v>803</v>
      </c>
      <c r="H98" s="500"/>
      <c r="I98" s="508" t="s">
        <v>190</v>
      </c>
      <c r="J98" s="506" t="s">
        <v>562</v>
      </c>
      <c r="K98" s="502">
        <v>157</v>
      </c>
      <c r="L98" s="502">
        <v>315</v>
      </c>
      <c r="M98" s="502">
        <v>315</v>
      </c>
      <c r="N98" s="502"/>
      <c r="O98" s="502">
        <v>0</v>
      </c>
      <c r="P98" s="502">
        <f t="shared" si="9"/>
        <v>157</v>
      </c>
    </row>
    <row r="99" spans="1:16" s="504" customFormat="1" ht="14.25" x14ac:dyDescent="0.2">
      <c r="A99" s="500">
        <v>570</v>
      </c>
      <c r="B99" s="500">
        <v>0</v>
      </c>
      <c r="C99" s="500" t="s">
        <v>922</v>
      </c>
      <c r="D99" s="500" t="s">
        <v>924</v>
      </c>
      <c r="E99" s="500" t="s">
        <v>850</v>
      </c>
      <c r="F99" s="500"/>
      <c r="G99" s="500" t="s">
        <v>800</v>
      </c>
      <c r="H99" s="500"/>
      <c r="I99" s="508" t="s">
        <v>190</v>
      </c>
      <c r="J99" s="506" t="s">
        <v>562</v>
      </c>
      <c r="K99" s="502">
        <v>2363.4499999999998</v>
      </c>
      <c r="L99" s="502">
        <v>2500</v>
      </c>
      <c r="M99" s="502">
        <v>0</v>
      </c>
      <c r="N99" s="502"/>
      <c r="O99" s="502">
        <v>0</v>
      </c>
      <c r="P99" s="502">
        <f t="shared" si="9"/>
        <v>4863.45</v>
      </c>
    </row>
    <row r="100" spans="1:16" s="504" customFormat="1" ht="14.25" x14ac:dyDescent="0.2">
      <c r="A100" s="500">
        <v>630</v>
      </c>
      <c r="B100" s="500">
        <v>0</v>
      </c>
      <c r="C100" s="500" t="s">
        <v>922</v>
      </c>
      <c r="D100" s="500" t="s">
        <v>925</v>
      </c>
      <c r="E100" s="500" t="s">
        <v>829</v>
      </c>
      <c r="F100" s="500"/>
      <c r="G100" s="500" t="s">
        <v>800</v>
      </c>
      <c r="H100" s="500"/>
      <c r="I100" s="508" t="s">
        <v>190</v>
      </c>
      <c r="J100" s="506" t="s">
        <v>562</v>
      </c>
      <c r="K100" s="502">
        <v>0</v>
      </c>
      <c r="L100" s="502">
        <v>644.70000000000005</v>
      </c>
      <c r="M100" s="502">
        <v>644.70000000000005</v>
      </c>
      <c r="N100" s="502"/>
      <c r="O100" s="502">
        <v>0</v>
      </c>
      <c r="P100" s="502">
        <f t="shared" si="9"/>
        <v>0</v>
      </c>
    </row>
    <row r="101" spans="1:16" s="504" customFormat="1" ht="14.25" x14ac:dyDescent="0.2">
      <c r="A101" s="500">
        <v>660</v>
      </c>
      <c r="B101" s="500">
        <v>0</v>
      </c>
      <c r="C101" s="500" t="s">
        <v>926</v>
      </c>
      <c r="D101" s="500" t="s">
        <v>927</v>
      </c>
      <c r="E101" s="500" t="s">
        <v>852</v>
      </c>
      <c r="F101" s="500"/>
      <c r="G101" s="500" t="s">
        <v>799</v>
      </c>
      <c r="H101" s="500"/>
      <c r="I101" s="508" t="s">
        <v>190</v>
      </c>
      <c r="J101" s="506" t="s">
        <v>562</v>
      </c>
      <c r="K101" s="502">
        <v>672</v>
      </c>
      <c r="L101" s="502">
        <v>0</v>
      </c>
      <c r="M101" s="502">
        <v>672</v>
      </c>
      <c r="N101" s="502"/>
      <c r="O101" s="502">
        <v>0</v>
      </c>
      <c r="P101" s="502">
        <f t="shared" si="9"/>
        <v>0</v>
      </c>
    </row>
    <row r="102" spans="1:16" s="504" customFormat="1" ht="14.25" x14ac:dyDescent="0.2">
      <c r="A102" s="500">
        <v>240</v>
      </c>
      <c r="B102" s="500">
        <v>0</v>
      </c>
      <c r="C102" s="500" t="s">
        <v>928</v>
      </c>
      <c r="D102" s="500" t="s">
        <v>929</v>
      </c>
      <c r="E102" s="500" t="s">
        <v>799</v>
      </c>
      <c r="F102" s="500"/>
      <c r="G102" s="500" t="s">
        <v>826</v>
      </c>
      <c r="H102" s="500"/>
      <c r="I102" s="508" t="s">
        <v>190</v>
      </c>
      <c r="J102" s="506" t="s">
        <v>562</v>
      </c>
      <c r="K102" s="502">
        <v>200</v>
      </c>
      <c r="L102" s="502">
        <v>300</v>
      </c>
      <c r="M102" s="502">
        <v>169.23</v>
      </c>
      <c r="N102" s="502"/>
      <c r="O102" s="502">
        <v>30.77</v>
      </c>
      <c r="P102" s="502">
        <f t="shared" si="9"/>
        <v>300</v>
      </c>
    </row>
    <row r="103" spans="1:16" s="504" customFormat="1" ht="14.25" x14ac:dyDescent="0.2">
      <c r="A103" s="500">
        <v>222</v>
      </c>
      <c r="B103" s="500">
        <v>0</v>
      </c>
      <c r="C103" s="500" t="s">
        <v>930</v>
      </c>
      <c r="D103" s="500" t="s">
        <v>931</v>
      </c>
      <c r="E103" s="500" t="s">
        <v>799</v>
      </c>
      <c r="F103" s="500"/>
      <c r="G103" s="500" t="s">
        <v>800</v>
      </c>
      <c r="H103" s="500"/>
      <c r="I103" s="508" t="s">
        <v>190</v>
      </c>
      <c r="J103" s="506" t="s">
        <v>562</v>
      </c>
      <c r="K103" s="502">
        <v>0</v>
      </c>
      <c r="L103" s="502">
        <v>1050</v>
      </c>
      <c r="M103" s="502">
        <v>1050</v>
      </c>
      <c r="N103" s="502"/>
      <c r="O103" s="502">
        <v>0</v>
      </c>
      <c r="P103" s="502">
        <f t="shared" si="9"/>
        <v>0</v>
      </c>
    </row>
    <row r="104" spans="1:16" s="504" customFormat="1" ht="14.25" x14ac:dyDescent="0.2">
      <c r="A104" s="500">
        <v>550</v>
      </c>
      <c r="B104" s="500">
        <v>0</v>
      </c>
      <c r="C104" s="500" t="s">
        <v>930</v>
      </c>
      <c r="D104" s="500" t="s">
        <v>932</v>
      </c>
      <c r="E104" s="500" t="s">
        <v>850</v>
      </c>
      <c r="F104" s="500"/>
      <c r="G104" s="500" t="s">
        <v>852</v>
      </c>
      <c r="H104" s="500"/>
      <c r="I104" s="508" t="s">
        <v>190</v>
      </c>
      <c r="J104" s="506" t="s">
        <v>562</v>
      </c>
      <c r="K104" s="502">
        <v>27687.67</v>
      </c>
      <c r="L104" s="502">
        <v>32700</v>
      </c>
      <c r="M104" s="502">
        <v>27687.67</v>
      </c>
      <c r="N104" s="502"/>
      <c r="O104" s="502">
        <v>0</v>
      </c>
      <c r="P104" s="502">
        <f t="shared" si="9"/>
        <v>32700</v>
      </c>
    </row>
    <row r="105" spans="1:16" s="504" customFormat="1" ht="14.25" x14ac:dyDescent="0.2">
      <c r="A105" s="500">
        <v>560</v>
      </c>
      <c r="B105" s="500">
        <v>0</v>
      </c>
      <c r="C105" s="500" t="s">
        <v>930</v>
      </c>
      <c r="D105" s="500" t="s">
        <v>933</v>
      </c>
      <c r="E105" s="500" t="s">
        <v>850</v>
      </c>
      <c r="F105" s="500"/>
      <c r="G105" s="500" t="s">
        <v>800</v>
      </c>
      <c r="H105" s="500"/>
      <c r="I105" s="508" t="s">
        <v>190</v>
      </c>
      <c r="J105" s="506" t="s">
        <v>562</v>
      </c>
      <c r="K105" s="502">
        <v>544.04999999999995</v>
      </c>
      <c r="L105" s="502">
        <v>580</v>
      </c>
      <c r="M105" s="502">
        <v>518.28</v>
      </c>
      <c r="N105" s="502"/>
      <c r="O105" s="502">
        <v>0</v>
      </c>
      <c r="P105" s="502">
        <f t="shared" si="9"/>
        <v>605.77</v>
      </c>
    </row>
    <row r="106" spans="1:16" s="504" customFormat="1" ht="14.25" x14ac:dyDescent="0.2">
      <c r="A106" s="500">
        <v>581</v>
      </c>
      <c r="B106" s="500">
        <v>0</v>
      </c>
      <c r="C106" s="500" t="s">
        <v>930</v>
      </c>
      <c r="D106" s="500" t="s">
        <v>726</v>
      </c>
      <c r="E106" s="500" t="s">
        <v>847</v>
      </c>
      <c r="F106" s="500"/>
      <c r="G106" s="500" t="s">
        <v>829</v>
      </c>
      <c r="H106" s="500"/>
      <c r="I106" s="508" t="s">
        <v>190</v>
      </c>
      <c r="J106" s="506" t="s">
        <v>562</v>
      </c>
      <c r="K106" s="502">
        <v>23041.16</v>
      </c>
      <c r="L106" s="502">
        <v>0</v>
      </c>
      <c r="M106" s="502">
        <v>0</v>
      </c>
      <c r="N106" s="502"/>
      <c r="O106" s="502">
        <v>7673.12</v>
      </c>
      <c r="P106" s="502">
        <f t="shared" si="9"/>
        <v>15368.04</v>
      </c>
    </row>
    <row r="107" spans="1:16" s="504" customFormat="1" ht="14.25" x14ac:dyDescent="0.2">
      <c r="A107" s="500">
        <v>615</v>
      </c>
      <c r="B107" s="500">
        <v>0</v>
      </c>
      <c r="C107" s="500" t="s">
        <v>930</v>
      </c>
      <c r="D107" s="500" t="s">
        <v>934</v>
      </c>
      <c r="E107" s="500" t="s">
        <v>829</v>
      </c>
      <c r="F107" s="500"/>
      <c r="G107" s="500" t="s">
        <v>800</v>
      </c>
      <c r="H107" s="500"/>
      <c r="I107" s="508" t="s">
        <v>190</v>
      </c>
      <c r="J107" s="506" t="s">
        <v>562</v>
      </c>
      <c r="K107" s="502">
        <v>0</v>
      </c>
      <c r="L107" s="502">
        <v>632</v>
      </c>
      <c r="M107" s="502">
        <v>632</v>
      </c>
      <c r="N107" s="502"/>
      <c r="O107" s="502">
        <v>0</v>
      </c>
      <c r="P107" s="502">
        <f t="shared" si="9"/>
        <v>0</v>
      </c>
    </row>
    <row r="108" spans="1:16" s="504" customFormat="1" ht="14.25" x14ac:dyDescent="0.2">
      <c r="A108" s="500">
        <v>734</v>
      </c>
      <c r="B108" s="500">
        <v>0</v>
      </c>
      <c r="C108" s="500" t="s">
        <v>930</v>
      </c>
      <c r="D108" s="500" t="s">
        <v>935</v>
      </c>
      <c r="E108" s="500" t="s">
        <v>826</v>
      </c>
      <c r="F108" s="500"/>
      <c r="G108" s="500" t="s">
        <v>799</v>
      </c>
      <c r="H108" s="500"/>
      <c r="I108" s="508" t="s">
        <v>190</v>
      </c>
      <c r="J108" s="506" t="s">
        <v>562</v>
      </c>
      <c r="K108" s="502">
        <v>0</v>
      </c>
      <c r="L108" s="502">
        <v>129.81</v>
      </c>
      <c r="M108" s="502">
        <v>129.81</v>
      </c>
      <c r="N108" s="502"/>
      <c r="O108" s="502">
        <v>0</v>
      </c>
      <c r="P108" s="502">
        <f t="shared" si="9"/>
        <v>0</v>
      </c>
    </row>
    <row r="109" spans="1:16" s="504" customFormat="1" ht="14.25" x14ac:dyDescent="0.2">
      <c r="A109" s="500">
        <v>830</v>
      </c>
      <c r="B109" s="500">
        <v>0</v>
      </c>
      <c r="C109" s="500" t="s">
        <v>930</v>
      </c>
      <c r="D109" s="500" t="s">
        <v>936</v>
      </c>
      <c r="E109" s="500" t="s">
        <v>805</v>
      </c>
      <c r="F109" s="500"/>
      <c r="G109" s="500" t="s">
        <v>806</v>
      </c>
      <c r="H109" s="500"/>
      <c r="I109" s="508" t="s">
        <v>190</v>
      </c>
      <c r="J109" s="506" t="s">
        <v>562</v>
      </c>
      <c r="K109" s="502">
        <v>8375.08</v>
      </c>
      <c r="L109" s="502">
        <v>26467.19</v>
      </c>
      <c r="M109" s="502">
        <v>8375.08</v>
      </c>
      <c r="N109" s="502"/>
      <c r="O109" s="502">
        <v>0</v>
      </c>
      <c r="P109" s="502">
        <f t="shared" si="9"/>
        <v>26467.189999999995</v>
      </c>
    </row>
    <row r="110" spans="1:16" s="504" customFormat="1" ht="14.25" x14ac:dyDescent="0.2">
      <c r="A110" s="500">
        <v>900</v>
      </c>
      <c r="B110" s="500">
        <v>0</v>
      </c>
      <c r="C110" s="500" t="s">
        <v>930</v>
      </c>
      <c r="D110" s="500" t="s">
        <v>937</v>
      </c>
      <c r="E110" s="500" t="s">
        <v>847</v>
      </c>
      <c r="F110" s="500"/>
      <c r="G110" s="500" t="s">
        <v>806</v>
      </c>
      <c r="H110" s="500"/>
      <c r="I110" s="508" t="s">
        <v>190</v>
      </c>
      <c r="J110" s="506" t="s">
        <v>562</v>
      </c>
      <c r="K110" s="502">
        <v>3034.1</v>
      </c>
      <c r="L110" s="502">
        <v>8000</v>
      </c>
      <c r="M110" s="502">
        <v>8569.65</v>
      </c>
      <c r="N110" s="502"/>
      <c r="O110" s="502">
        <v>0</v>
      </c>
      <c r="P110" s="502">
        <f t="shared" si="9"/>
        <v>2464.4500000000007</v>
      </c>
    </row>
    <row r="111" spans="1:16" s="504" customFormat="1" ht="14.25" x14ac:dyDescent="0.2">
      <c r="A111" s="500">
        <v>913</v>
      </c>
      <c r="B111" s="500">
        <v>0</v>
      </c>
      <c r="C111" s="500" t="s">
        <v>930</v>
      </c>
      <c r="D111" s="500" t="s">
        <v>938</v>
      </c>
      <c r="E111" s="500" t="s">
        <v>847</v>
      </c>
      <c r="F111" s="500"/>
      <c r="G111" s="500" t="s">
        <v>800</v>
      </c>
      <c r="H111" s="500"/>
      <c r="I111" s="508" t="s">
        <v>190</v>
      </c>
      <c r="J111" s="506" t="s">
        <v>562</v>
      </c>
      <c r="K111" s="502">
        <v>2367.09</v>
      </c>
      <c r="L111" s="502">
        <v>7400</v>
      </c>
      <c r="M111" s="502">
        <v>7367.09</v>
      </c>
      <c r="N111" s="502"/>
      <c r="O111" s="502">
        <v>0</v>
      </c>
      <c r="P111" s="502">
        <f t="shared" si="9"/>
        <v>2400</v>
      </c>
    </row>
    <row r="112" spans="1:16" s="504" customFormat="1" ht="14.25" x14ac:dyDescent="0.2">
      <c r="A112" s="500">
        <v>915</v>
      </c>
      <c r="B112" s="500">
        <v>0</v>
      </c>
      <c r="C112" s="500" t="s">
        <v>930</v>
      </c>
      <c r="D112" s="500" t="s">
        <v>939</v>
      </c>
      <c r="E112" s="500" t="s">
        <v>850</v>
      </c>
      <c r="F112" s="500"/>
      <c r="G112" s="500" t="s">
        <v>800</v>
      </c>
      <c r="H112" s="500"/>
      <c r="I112" s="508" t="s">
        <v>190</v>
      </c>
      <c r="J112" s="506" t="s">
        <v>562</v>
      </c>
      <c r="K112" s="502">
        <v>16046.71</v>
      </c>
      <c r="L112" s="502">
        <v>15000</v>
      </c>
      <c r="M112" s="502">
        <v>31046.71</v>
      </c>
      <c r="N112" s="502"/>
      <c r="O112" s="502">
        <v>0</v>
      </c>
      <c r="P112" s="502">
        <f t="shared" si="9"/>
        <v>0</v>
      </c>
    </row>
    <row r="113" spans="1:16" s="504" customFormat="1" ht="14.25" x14ac:dyDescent="0.2">
      <c r="A113" s="500">
        <v>924</v>
      </c>
      <c r="B113" s="500">
        <v>0</v>
      </c>
      <c r="C113" s="500" t="s">
        <v>930</v>
      </c>
      <c r="D113" s="500" t="s">
        <v>940</v>
      </c>
      <c r="E113" s="500" t="s">
        <v>847</v>
      </c>
      <c r="F113" s="500"/>
      <c r="G113" s="500" t="s">
        <v>800</v>
      </c>
      <c r="H113" s="500"/>
      <c r="I113" s="508" t="s">
        <v>190</v>
      </c>
      <c r="J113" s="506" t="s">
        <v>562</v>
      </c>
      <c r="K113" s="502">
        <v>0</v>
      </c>
      <c r="L113" s="502">
        <v>3398.4</v>
      </c>
      <c r="M113" s="502">
        <v>3115.2</v>
      </c>
      <c r="N113" s="502"/>
      <c r="O113" s="502">
        <v>0</v>
      </c>
      <c r="P113" s="502">
        <f t="shared" si="9"/>
        <v>283.20000000000027</v>
      </c>
    </row>
    <row r="114" spans="1:16" s="504" customFormat="1" ht="14.25" x14ac:dyDescent="0.2">
      <c r="A114" s="500">
        <v>925</v>
      </c>
      <c r="B114" s="500">
        <v>0</v>
      </c>
      <c r="C114" s="500" t="s">
        <v>930</v>
      </c>
      <c r="D114" s="500" t="s">
        <v>941</v>
      </c>
      <c r="E114" s="500" t="s">
        <v>847</v>
      </c>
      <c r="F114" s="500"/>
      <c r="G114" s="500" t="s">
        <v>800</v>
      </c>
      <c r="H114" s="500"/>
      <c r="I114" s="508" t="s">
        <v>190</v>
      </c>
      <c r="J114" s="506" t="s">
        <v>562</v>
      </c>
      <c r="K114" s="502">
        <v>11105</v>
      </c>
      <c r="L114" s="502">
        <v>18500</v>
      </c>
      <c r="M114" s="502">
        <v>21100.26</v>
      </c>
      <c r="N114" s="502"/>
      <c r="O114" s="502">
        <v>0</v>
      </c>
      <c r="P114" s="502">
        <f t="shared" si="9"/>
        <v>8504.7400000000016</v>
      </c>
    </row>
    <row r="115" spans="1:16" s="504" customFormat="1" ht="14.25" x14ac:dyDescent="0.2">
      <c r="A115" s="500">
        <v>939</v>
      </c>
      <c r="B115" s="500">
        <v>0</v>
      </c>
      <c r="C115" s="500" t="s">
        <v>930</v>
      </c>
      <c r="D115" s="500" t="s">
        <v>942</v>
      </c>
      <c r="E115" s="500" t="s">
        <v>847</v>
      </c>
      <c r="F115" s="500"/>
      <c r="G115" s="500" t="s">
        <v>800</v>
      </c>
      <c r="H115" s="500"/>
      <c r="I115" s="508" t="s">
        <v>190</v>
      </c>
      <c r="J115" s="506" t="s">
        <v>562</v>
      </c>
      <c r="K115" s="502">
        <v>0</v>
      </c>
      <c r="L115" s="502">
        <v>2500</v>
      </c>
      <c r="M115" s="502">
        <v>2500</v>
      </c>
      <c r="N115" s="502"/>
      <c r="O115" s="502">
        <v>0</v>
      </c>
      <c r="P115" s="502">
        <f t="shared" si="9"/>
        <v>0</v>
      </c>
    </row>
    <row r="116" spans="1:16" s="504" customFormat="1" ht="14.25" x14ac:dyDescent="0.2">
      <c r="A116" s="500">
        <v>951</v>
      </c>
      <c r="B116" s="500">
        <v>0</v>
      </c>
      <c r="C116" s="500" t="s">
        <v>930</v>
      </c>
      <c r="D116" s="500" t="s">
        <v>943</v>
      </c>
      <c r="E116" s="500" t="s">
        <v>944</v>
      </c>
      <c r="F116" s="500"/>
      <c r="G116" s="500" t="s">
        <v>800</v>
      </c>
      <c r="H116" s="500"/>
      <c r="I116" s="508" t="s">
        <v>190</v>
      </c>
      <c r="J116" s="506" t="s">
        <v>562</v>
      </c>
      <c r="K116" s="502">
        <v>1017</v>
      </c>
      <c r="L116" s="502">
        <v>3132.39</v>
      </c>
      <c r="M116" s="502">
        <v>3100.44</v>
      </c>
      <c r="N116" s="502"/>
      <c r="O116" s="502">
        <v>0.76</v>
      </c>
      <c r="P116" s="502">
        <f t="shared" si="9"/>
        <v>1048.1899999999994</v>
      </c>
    </row>
    <row r="117" spans="1:16" s="504" customFormat="1" ht="14.25" x14ac:dyDescent="0.2">
      <c r="A117" s="500">
        <v>1027</v>
      </c>
      <c r="B117" s="500">
        <v>0</v>
      </c>
      <c r="C117" s="500" t="s">
        <v>988</v>
      </c>
      <c r="D117" s="500" t="s">
        <v>989</v>
      </c>
      <c r="E117" s="500" t="s">
        <v>843</v>
      </c>
      <c r="F117" s="500"/>
      <c r="G117" s="500" t="s">
        <v>799</v>
      </c>
      <c r="H117" s="500"/>
      <c r="I117" s="508" t="s">
        <v>190</v>
      </c>
      <c r="J117" s="501" t="s">
        <v>990</v>
      </c>
      <c r="K117" s="502">
        <v>11347</v>
      </c>
      <c r="L117" s="502">
        <v>0</v>
      </c>
      <c r="M117" s="502">
        <v>0</v>
      </c>
      <c r="N117" s="502"/>
      <c r="O117" s="502">
        <v>0</v>
      </c>
      <c r="P117" s="502">
        <f t="shared" si="9"/>
        <v>11347</v>
      </c>
    </row>
    <row r="119" spans="1:16" s="68" customFormat="1" x14ac:dyDescent="0.25">
      <c r="D119" s="68" t="s">
        <v>179</v>
      </c>
      <c r="I119" s="68" t="s">
        <v>190</v>
      </c>
      <c r="K119" s="67">
        <f>SUM(K92:K118)</f>
        <v>109969.12</v>
      </c>
      <c r="L119" s="67">
        <f t="shared" ref="L119:P119" si="10">SUM(L92:L118)</f>
        <v>134695.43</v>
      </c>
      <c r="M119" s="67">
        <f t="shared" si="10"/>
        <v>120457.06</v>
      </c>
      <c r="N119" s="67">
        <f t="shared" si="10"/>
        <v>0</v>
      </c>
      <c r="O119" s="67">
        <f t="shared" si="10"/>
        <v>9612.52</v>
      </c>
      <c r="P119" s="67">
        <f t="shared" si="10"/>
        <v>114594.96999999999</v>
      </c>
    </row>
    <row r="123" spans="1:16" s="68" customFormat="1" x14ac:dyDescent="0.25">
      <c r="D123" s="68" t="s">
        <v>180</v>
      </c>
      <c r="I123" s="68" t="s">
        <v>191</v>
      </c>
      <c r="K123" s="67">
        <f>SUM(K120:K122)</f>
        <v>0</v>
      </c>
      <c r="L123" s="67">
        <f t="shared" ref="L123:P123" si="11">SUM(L120:L122)</f>
        <v>0</v>
      </c>
      <c r="M123" s="67">
        <f t="shared" si="11"/>
        <v>0</v>
      </c>
      <c r="N123" s="67">
        <f t="shared" si="11"/>
        <v>0</v>
      </c>
      <c r="O123" s="67">
        <f t="shared" si="11"/>
        <v>0</v>
      </c>
      <c r="P123" s="67">
        <f t="shared" si="11"/>
        <v>0</v>
      </c>
    </row>
    <row r="127" spans="1:16" s="68" customFormat="1" x14ac:dyDescent="0.25">
      <c r="D127" s="68" t="s">
        <v>181</v>
      </c>
      <c r="I127" s="68" t="s">
        <v>192</v>
      </c>
      <c r="K127" s="67">
        <f>SUM(K124:K126)</f>
        <v>0</v>
      </c>
      <c r="L127" s="67">
        <f t="shared" ref="L127:P127" si="12">SUM(L124:L126)</f>
        <v>0</v>
      </c>
      <c r="M127" s="67">
        <f t="shared" si="12"/>
        <v>0</v>
      </c>
      <c r="N127" s="67">
        <f t="shared" si="12"/>
        <v>0</v>
      </c>
      <c r="O127" s="67">
        <f t="shared" si="12"/>
        <v>0</v>
      </c>
      <c r="P127" s="67">
        <f t="shared" si="12"/>
        <v>0</v>
      </c>
    </row>
    <row r="130" spans="1:16" s="504" customFormat="1" ht="14.25" x14ac:dyDescent="0.2">
      <c r="A130" s="500">
        <v>929</v>
      </c>
      <c r="B130" s="500">
        <v>0</v>
      </c>
      <c r="C130" s="500" t="s">
        <v>945</v>
      </c>
      <c r="D130" s="500" t="s">
        <v>946</v>
      </c>
      <c r="E130" s="500" t="s">
        <v>847</v>
      </c>
      <c r="F130" s="500"/>
      <c r="G130" s="500" t="s">
        <v>829</v>
      </c>
      <c r="H130" s="500"/>
      <c r="I130" s="508" t="s">
        <v>193</v>
      </c>
      <c r="J130" s="506" t="s">
        <v>562</v>
      </c>
      <c r="K130" s="502">
        <v>228.68</v>
      </c>
      <c r="L130" s="502">
        <v>0</v>
      </c>
      <c r="M130" s="502">
        <v>0</v>
      </c>
      <c r="N130" s="502"/>
      <c r="O130" s="502">
        <v>0</v>
      </c>
      <c r="P130" s="502">
        <f t="shared" ref="P130:P137" si="13">K130+L130-M130+N130-O130</f>
        <v>228.68</v>
      </c>
    </row>
    <row r="131" spans="1:16" s="504" customFormat="1" ht="14.25" x14ac:dyDescent="0.2">
      <c r="A131" s="500">
        <v>936</v>
      </c>
      <c r="B131" s="500">
        <v>0</v>
      </c>
      <c r="C131" s="500" t="s">
        <v>945</v>
      </c>
      <c r="D131" s="500" t="s">
        <v>947</v>
      </c>
      <c r="E131" s="500" t="s">
        <v>847</v>
      </c>
      <c r="F131" s="500"/>
      <c r="G131" s="500" t="s">
        <v>829</v>
      </c>
      <c r="H131" s="500"/>
      <c r="I131" s="508" t="s">
        <v>193</v>
      </c>
      <c r="J131" s="506" t="s">
        <v>562</v>
      </c>
      <c r="K131" s="502">
        <v>1000</v>
      </c>
      <c r="L131" s="502">
        <v>750</v>
      </c>
      <c r="M131" s="502">
        <v>1000</v>
      </c>
      <c r="N131" s="502"/>
      <c r="O131" s="502">
        <v>0</v>
      </c>
      <c r="P131" s="502">
        <f t="shared" si="13"/>
        <v>750</v>
      </c>
    </row>
    <row r="132" spans="1:16" s="504" customFormat="1" ht="14.25" x14ac:dyDescent="0.2">
      <c r="A132" s="500">
        <v>230</v>
      </c>
      <c r="B132" s="500">
        <v>5</v>
      </c>
      <c r="C132" s="500" t="s">
        <v>948</v>
      </c>
      <c r="D132" s="500" t="s">
        <v>949</v>
      </c>
      <c r="E132" s="500" t="s">
        <v>799</v>
      </c>
      <c r="F132" s="500"/>
      <c r="G132" s="500" t="s">
        <v>829</v>
      </c>
      <c r="H132" s="500"/>
      <c r="I132" s="508" t="s">
        <v>193</v>
      </c>
      <c r="J132" s="506" t="s">
        <v>562</v>
      </c>
      <c r="K132" s="502">
        <v>0</v>
      </c>
      <c r="L132" s="502">
        <v>1200</v>
      </c>
      <c r="M132" s="502">
        <v>1200</v>
      </c>
      <c r="N132" s="502"/>
      <c r="O132" s="502">
        <v>0</v>
      </c>
      <c r="P132" s="502">
        <f t="shared" si="13"/>
        <v>0</v>
      </c>
    </row>
    <row r="133" spans="1:16" s="504" customFormat="1" ht="14.25" x14ac:dyDescent="0.2">
      <c r="A133" s="500">
        <v>571</v>
      </c>
      <c r="B133" s="500">
        <v>0</v>
      </c>
      <c r="C133" s="500" t="s">
        <v>948</v>
      </c>
      <c r="D133" s="500" t="s">
        <v>950</v>
      </c>
      <c r="E133" s="500" t="s">
        <v>850</v>
      </c>
      <c r="F133" s="500"/>
      <c r="G133" s="500" t="s">
        <v>852</v>
      </c>
      <c r="H133" s="500"/>
      <c r="I133" s="508" t="s">
        <v>193</v>
      </c>
      <c r="J133" s="506" t="s">
        <v>562</v>
      </c>
      <c r="K133" s="502">
        <v>1650</v>
      </c>
      <c r="L133" s="502">
        <v>1000</v>
      </c>
      <c r="M133" s="502">
        <v>850</v>
      </c>
      <c r="N133" s="502"/>
      <c r="O133" s="502">
        <v>0</v>
      </c>
      <c r="P133" s="502">
        <f t="shared" si="13"/>
        <v>1800</v>
      </c>
    </row>
    <row r="134" spans="1:16" s="504" customFormat="1" ht="14.25" x14ac:dyDescent="0.2">
      <c r="A134" s="500">
        <v>923</v>
      </c>
      <c r="B134" s="500">
        <v>0</v>
      </c>
      <c r="C134" s="500" t="s">
        <v>948</v>
      </c>
      <c r="D134" s="500" t="s">
        <v>951</v>
      </c>
      <c r="E134" s="500" t="s">
        <v>847</v>
      </c>
      <c r="F134" s="500"/>
      <c r="G134" s="500" t="s">
        <v>829</v>
      </c>
      <c r="H134" s="500"/>
      <c r="I134" s="508" t="s">
        <v>193</v>
      </c>
      <c r="J134" s="506" t="s">
        <v>562</v>
      </c>
      <c r="K134" s="502">
        <v>2000</v>
      </c>
      <c r="L134" s="502">
        <v>1000</v>
      </c>
      <c r="M134" s="502">
        <v>2000</v>
      </c>
      <c r="N134" s="502"/>
      <c r="O134" s="502">
        <v>0</v>
      </c>
      <c r="P134" s="502">
        <f t="shared" si="13"/>
        <v>1000</v>
      </c>
    </row>
    <row r="135" spans="1:16" s="504" customFormat="1" ht="14.25" x14ac:dyDescent="0.2">
      <c r="A135" s="500">
        <v>485</v>
      </c>
      <c r="B135" s="500">
        <v>0</v>
      </c>
      <c r="C135" s="500" t="s">
        <v>952</v>
      </c>
      <c r="D135" s="500" t="s">
        <v>953</v>
      </c>
      <c r="E135" s="500" t="s">
        <v>850</v>
      </c>
      <c r="F135" s="500"/>
      <c r="G135" s="500" t="s">
        <v>799</v>
      </c>
      <c r="H135" s="500"/>
      <c r="I135" s="508" t="s">
        <v>193</v>
      </c>
      <c r="J135" s="506" t="s">
        <v>562</v>
      </c>
      <c r="K135" s="502">
        <v>1960</v>
      </c>
      <c r="L135" s="502">
        <v>3000</v>
      </c>
      <c r="M135" s="502">
        <v>4960</v>
      </c>
      <c r="N135" s="502"/>
      <c r="O135" s="502">
        <v>0</v>
      </c>
      <c r="P135" s="502">
        <f t="shared" si="13"/>
        <v>0</v>
      </c>
    </row>
    <row r="136" spans="1:16" s="504" customFormat="1" ht="14.25" x14ac:dyDescent="0.2">
      <c r="A136" s="500">
        <v>620</v>
      </c>
      <c r="B136" s="500">
        <v>0</v>
      </c>
      <c r="C136" s="500" t="s">
        <v>952</v>
      </c>
      <c r="D136" s="500" t="s">
        <v>954</v>
      </c>
      <c r="E136" s="500" t="s">
        <v>829</v>
      </c>
      <c r="F136" s="500"/>
      <c r="G136" s="500" t="s">
        <v>800</v>
      </c>
      <c r="H136" s="500"/>
      <c r="I136" s="508" t="s">
        <v>193</v>
      </c>
      <c r="J136" s="506" t="s">
        <v>562</v>
      </c>
      <c r="K136" s="502">
        <v>4783.33</v>
      </c>
      <c r="L136" s="502">
        <v>8977.34</v>
      </c>
      <c r="M136" s="502">
        <v>13683.63</v>
      </c>
      <c r="N136" s="502"/>
      <c r="O136" s="502">
        <v>0</v>
      </c>
      <c r="P136" s="502">
        <f t="shared" si="13"/>
        <v>77.040000000000873</v>
      </c>
    </row>
    <row r="137" spans="1:16" s="504" customFormat="1" ht="14.25" x14ac:dyDescent="0.2">
      <c r="A137" s="500">
        <v>695</v>
      </c>
      <c r="B137" s="500">
        <v>0</v>
      </c>
      <c r="C137" s="500" t="s">
        <v>952</v>
      </c>
      <c r="D137" s="500" t="s">
        <v>955</v>
      </c>
      <c r="E137" s="500" t="s">
        <v>843</v>
      </c>
      <c r="F137" s="500"/>
      <c r="G137" s="500" t="s">
        <v>799</v>
      </c>
      <c r="H137" s="500"/>
      <c r="I137" s="508" t="s">
        <v>193</v>
      </c>
      <c r="J137" s="506" t="s">
        <v>562</v>
      </c>
      <c r="K137" s="502">
        <v>1000</v>
      </c>
      <c r="L137" s="502">
        <v>1000</v>
      </c>
      <c r="M137" s="502">
        <v>2000</v>
      </c>
      <c r="N137" s="502"/>
      <c r="O137" s="502">
        <v>0</v>
      </c>
      <c r="P137" s="502">
        <f t="shared" si="13"/>
        <v>0</v>
      </c>
    </row>
    <row r="139" spans="1:16" s="68" customFormat="1" x14ac:dyDescent="0.25">
      <c r="D139" s="68" t="s">
        <v>182</v>
      </c>
      <c r="I139" s="68" t="s">
        <v>193</v>
      </c>
      <c r="K139" s="67">
        <f>SUM(K128:K138)</f>
        <v>12622.01</v>
      </c>
      <c r="L139" s="67">
        <f t="shared" ref="L139:P139" si="14">SUM(L128:L138)</f>
        <v>16927.34</v>
      </c>
      <c r="M139" s="67">
        <f t="shared" si="14"/>
        <v>25693.629999999997</v>
      </c>
      <c r="N139" s="67">
        <f t="shared" si="14"/>
        <v>0</v>
      </c>
      <c r="O139" s="67">
        <f t="shared" si="14"/>
        <v>0</v>
      </c>
      <c r="P139" s="67">
        <f t="shared" si="14"/>
        <v>3855.7200000000012</v>
      </c>
    </row>
    <row r="142" spans="1:16" s="504" customFormat="1" ht="14.25" x14ac:dyDescent="0.2">
      <c r="A142" s="500">
        <v>144</v>
      </c>
      <c r="B142" s="500">
        <v>0</v>
      </c>
      <c r="C142" s="500" t="s">
        <v>818</v>
      </c>
      <c r="D142" s="500" t="s">
        <v>819</v>
      </c>
      <c r="E142" s="500" t="s">
        <v>799</v>
      </c>
      <c r="F142" s="500"/>
      <c r="G142" s="500" t="s">
        <v>800</v>
      </c>
      <c r="H142" s="500"/>
      <c r="I142" s="508" t="s">
        <v>194</v>
      </c>
      <c r="J142" s="506">
        <v>26</v>
      </c>
      <c r="K142" s="502">
        <v>0</v>
      </c>
      <c r="L142" s="502">
        <v>1001.64</v>
      </c>
      <c r="M142" s="502">
        <v>1001.64</v>
      </c>
      <c r="N142" s="502"/>
      <c r="O142" s="502">
        <v>0</v>
      </c>
      <c r="P142" s="502">
        <f t="shared" ref="P142:P149" si="15">K142+L142-M142+N142-O142</f>
        <v>0</v>
      </c>
    </row>
    <row r="143" spans="1:16" s="504" customFormat="1" ht="14.25" x14ac:dyDescent="0.2">
      <c r="A143" s="500">
        <v>145</v>
      </c>
      <c r="B143" s="500">
        <v>0</v>
      </c>
      <c r="C143" s="500" t="s">
        <v>818</v>
      </c>
      <c r="D143" s="500" t="s">
        <v>820</v>
      </c>
      <c r="E143" s="500" t="s">
        <v>799</v>
      </c>
      <c r="F143" s="500"/>
      <c r="G143" s="500" t="s">
        <v>800</v>
      </c>
      <c r="H143" s="500"/>
      <c r="I143" s="508" t="s">
        <v>194</v>
      </c>
      <c r="J143" s="506">
        <v>26</v>
      </c>
      <c r="K143" s="502">
        <v>0</v>
      </c>
      <c r="L143" s="502">
        <v>2845.6</v>
      </c>
      <c r="M143" s="502">
        <v>2845.6</v>
      </c>
      <c r="N143" s="502"/>
      <c r="O143" s="502">
        <v>0</v>
      </c>
      <c r="P143" s="502">
        <f t="shared" si="15"/>
        <v>0</v>
      </c>
    </row>
    <row r="144" spans="1:16" s="504" customFormat="1" ht="14.25" x14ac:dyDescent="0.2">
      <c r="A144" s="500">
        <v>145</v>
      </c>
      <c r="B144" s="500">
        <v>1</v>
      </c>
      <c r="C144" s="500" t="s">
        <v>818</v>
      </c>
      <c r="D144" s="500" t="s">
        <v>821</v>
      </c>
      <c r="E144" s="500" t="s">
        <v>799</v>
      </c>
      <c r="F144" s="500"/>
      <c r="G144" s="500" t="s">
        <v>803</v>
      </c>
      <c r="H144" s="500"/>
      <c r="I144" s="508" t="s">
        <v>194</v>
      </c>
      <c r="J144" s="506">
        <v>26</v>
      </c>
      <c r="K144" s="502">
        <v>0</v>
      </c>
      <c r="L144" s="502">
        <v>1887.12</v>
      </c>
      <c r="M144" s="502">
        <v>1887.12</v>
      </c>
      <c r="N144" s="502"/>
      <c r="O144" s="502">
        <v>0</v>
      </c>
      <c r="P144" s="502">
        <f t="shared" si="15"/>
        <v>0</v>
      </c>
    </row>
    <row r="145" spans="1:16" s="504" customFormat="1" ht="14.25" x14ac:dyDescent="0.2">
      <c r="A145" s="500">
        <v>145</v>
      </c>
      <c r="B145" s="500">
        <v>2</v>
      </c>
      <c r="C145" s="500" t="s">
        <v>818</v>
      </c>
      <c r="D145" s="500" t="s">
        <v>822</v>
      </c>
      <c r="E145" s="500" t="s">
        <v>805</v>
      </c>
      <c r="F145" s="500"/>
      <c r="G145" s="500" t="s">
        <v>806</v>
      </c>
      <c r="H145" s="500"/>
      <c r="I145" s="508" t="s">
        <v>194</v>
      </c>
      <c r="J145" s="506">
        <v>26</v>
      </c>
      <c r="K145" s="502">
        <v>0</v>
      </c>
      <c r="L145" s="502">
        <v>2309.35</v>
      </c>
      <c r="M145" s="502">
        <v>2309.35</v>
      </c>
      <c r="N145" s="502"/>
      <c r="O145" s="502">
        <v>0</v>
      </c>
      <c r="P145" s="502">
        <f t="shared" si="15"/>
        <v>0</v>
      </c>
    </row>
    <row r="146" spans="1:16" s="504" customFormat="1" ht="14.25" x14ac:dyDescent="0.2">
      <c r="A146" s="500">
        <v>147</v>
      </c>
      <c r="B146" s="500">
        <v>0</v>
      </c>
      <c r="C146" s="500" t="s">
        <v>818</v>
      </c>
      <c r="D146" s="500" t="s">
        <v>823</v>
      </c>
      <c r="E146" s="500" t="s">
        <v>799</v>
      </c>
      <c r="F146" s="500"/>
      <c r="G146" s="500" t="s">
        <v>800</v>
      </c>
      <c r="H146" s="500"/>
      <c r="I146" s="508" t="s">
        <v>194</v>
      </c>
      <c r="J146" s="506">
        <v>26</v>
      </c>
      <c r="K146" s="502">
        <v>0</v>
      </c>
      <c r="L146" s="502">
        <v>2353.48</v>
      </c>
      <c r="M146" s="502">
        <v>2353.48</v>
      </c>
      <c r="N146" s="502"/>
      <c r="O146" s="502">
        <v>0</v>
      </c>
      <c r="P146" s="502">
        <f t="shared" si="15"/>
        <v>0</v>
      </c>
    </row>
    <row r="147" spans="1:16" s="504" customFormat="1" ht="14.25" x14ac:dyDescent="0.2">
      <c r="A147" s="500">
        <v>410</v>
      </c>
      <c r="B147" s="500">
        <v>0</v>
      </c>
      <c r="C147" s="500" t="s">
        <v>824</v>
      </c>
      <c r="D147" s="500" t="s">
        <v>825</v>
      </c>
      <c r="E147" s="500" t="s">
        <v>799</v>
      </c>
      <c r="F147" s="500"/>
      <c r="G147" s="500" t="s">
        <v>826</v>
      </c>
      <c r="H147" s="500"/>
      <c r="I147" s="508" t="s">
        <v>194</v>
      </c>
      <c r="J147" s="506" t="s">
        <v>546</v>
      </c>
      <c r="K147" s="502">
        <v>1147</v>
      </c>
      <c r="L147" s="502">
        <v>1594.54</v>
      </c>
      <c r="M147" s="502">
        <v>2553.6999999999998</v>
      </c>
      <c r="N147" s="502"/>
      <c r="O147" s="502">
        <v>0</v>
      </c>
      <c r="P147" s="502">
        <f t="shared" si="15"/>
        <v>187.84000000000015</v>
      </c>
    </row>
    <row r="148" spans="1:16" s="504" customFormat="1" ht="14.25" x14ac:dyDescent="0.2">
      <c r="A148" s="500">
        <v>1340</v>
      </c>
      <c r="B148" s="500">
        <v>0</v>
      </c>
      <c r="C148" s="500" t="s">
        <v>994</v>
      </c>
      <c r="D148" s="500" t="s">
        <v>784</v>
      </c>
      <c r="E148" s="500" t="s">
        <v>995</v>
      </c>
      <c r="F148" s="500"/>
      <c r="G148" s="500" t="s">
        <v>799</v>
      </c>
      <c r="H148" s="500"/>
      <c r="I148" s="509" t="s">
        <v>194</v>
      </c>
      <c r="J148" s="507" t="s">
        <v>785</v>
      </c>
      <c r="K148" s="502">
        <v>0</v>
      </c>
      <c r="L148" s="502">
        <v>25476.35</v>
      </c>
      <c r="M148" s="502">
        <v>25476.35</v>
      </c>
      <c r="N148" s="502"/>
      <c r="O148" s="502">
        <v>0</v>
      </c>
      <c r="P148" s="502">
        <f t="shared" si="15"/>
        <v>0</v>
      </c>
    </row>
    <row r="149" spans="1:16" s="504" customFormat="1" ht="14.25" x14ac:dyDescent="0.2">
      <c r="A149" s="500">
        <v>1340</v>
      </c>
      <c r="B149" s="500">
        <v>1</v>
      </c>
      <c r="C149" s="500" t="s">
        <v>1000</v>
      </c>
      <c r="D149" s="500" t="s">
        <v>1001</v>
      </c>
      <c r="E149" s="500" t="s">
        <v>995</v>
      </c>
      <c r="F149" s="500"/>
      <c r="G149" s="500" t="s">
        <v>799</v>
      </c>
      <c r="H149" s="500"/>
      <c r="I149" s="509" t="s">
        <v>194</v>
      </c>
      <c r="J149" s="507" t="s">
        <v>785</v>
      </c>
      <c r="K149" s="502">
        <v>837.04</v>
      </c>
      <c r="L149" s="502">
        <v>0</v>
      </c>
      <c r="M149" s="502">
        <v>550</v>
      </c>
      <c r="N149" s="502"/>
      <c r="O149" s="502">
        <v>287.04000000000002</v>
      </c>
      <c r="P149" s="502">
        <f t="shared" si="15"/>
        <v>0</v>
      </c>
    </row>
    <row r="151" spans="1:16" s="68" customFormat="1" x14ac:dyDescent="0.25">
      <c r="D151" s="68" t="s">
        <v>183</v>
      </c>
      <c r="I151" s="68" t="s">
        <v>194</v>
      </c>
      <c r="K151" s="67">
        <f>SUM(K140:K150)</f>
        <v>1984.04</v>
      </c>
      <c r="L151" s="67">
        <f t="shared" ref="L151:P151" si="16">SUM(L140:L150)</f>
        <v>37468.080000000002</v>
      </c>
      <c r="M151" s="67">
        <f t="shared" si="16"/>
        <v>38977.24</v>
      </c>
      <c r="N151" s="67">
        <f t="shared" si="16"/>
        <v>0</v>
      </c>
      <c r="O151" s="67">
        <f t="shared" si="16"/>
        <v>287.04000000000002</v>
      </c>
      <c r="P151" s="67">
        <f t="shared" si="16"/>
        <v>187.84000000000015</v>
      </c>
    </row>
    <row r="154" spans="1:16" s="504" customFormat="1" ht="14.25" x14ac:dyDescent="0.2">
      <c r="A154" s="500">
        <v>125</v>
      </c>
      <c r="B154" s="500">
        <v>0</v>
      </c>
      <c r="C154" s="500" t="s">
        <v>813</v>
      </c>
      <c r="D154" s="500" t="s">
        <v>814</v>
      </c>
      <c r="E154" s="500" t="s">
        <v>799</v>
      </c>
      <c r="F154" s="500"/>
      <c r="G154" s="500" t="s">
        <v>800</v>
      </c>
      <c r="H154" s="500"/>
      <c r="I154" s="508" t="s">
        <v>195</v>
      </c>
      <c r="J154" s="506" t="s">
        <v>563</v>
      </c>
      <c r="K154" s="502">
        <v>0</v>
      </c>
      <c r="L154" s="502">
        <v>2803.44</v>
      </c>
      <c r="M154" s="502">
        <v>2803.44</v>
      </c>
      <c r="N154" s="502"/>
      <c r="O154" s="502">
        <v>0</v>
      </c>
      <c r="P154" s="502">
        <f>K154+L154-M154+N154-O154</f>
        <v>0</v>
      </c>
    </row>
    <row r="155" spans="1:16" s="504" customFormat="1" ht="14.25" x14ac:dyDescent="0.2">
      <c r="A155" s="500">
        <v>130</v>
      </c>
      <c r="B155" s="500">
        <v>0</v>
      </c>
      <c r="C155" s="500" t="s">
        <v>813</v>
      </c>
      <c r="D155" s="500" t="s">
        <v>815</v>
      </c>
      <c r="E155" s="500" t="s">
        <v>799</v>
      </c>
      <c r="F155" s="500"/>
      <c r="G155" s="500" t="s">
        <v>800</v>
      </c>
      <c r="H155" s="500"/>
      <c r="I155" s="508" t="s">
        <v>195</v>
      </c>
      <c r="J155" s="506" t="s">
        <v>563</v>
      </c>
      <c r="K155" s="502">
        <v>0</v>
      </c>
      <c r="L155" s="502">
        <v>8278.6</v>
      </c>
      <c r="M155" s="502">
        <v>8278.6</v>
      </c>
      <c r="N155" s="502"/>
      <c r="O155" s="502">
        <v>0</v>
      </c>
      <c r="P155" s="502">
        <f>K155+L155-M155+N155-O155</f>
        <v>0</v>
      </c>
    </row>
    <row r="156" spans="1:16" s="504" customFormat="1" ht="14.25" x14ac:dyDescent="0.2">
      <c r="A156" s="500">
        <v>130</v>
      </c>
      <c r="B156" s="500">
        <v>1</v>
      </c>
      <c r="C156" s="500" t="s">
        <v>813</v>
      </c>
      <c r="D156" s="500" t="s">
        <v>816</v>
      </c>
      <c r="E156" s="500" t="s">
        <v>799</v>
      </c>
      <c r="F156" s="500"/>
      <c r="G156" s="500" t="s">
        <v>803</v>
      </c>
      <c r="H156" s="500"/>
      <c r="I156" s="508" t="s">
        <v>195</v>
      </c>
      <c r="J156" s="506" t="s">
        <v>563</v>
      </c>
      <c r="K156" s="502">
        <v>0</v>
      </c>
      <c r="L156" s="502">
        <v>5670.67</v>
      </c>
      <c r="M156" s="502">
        <v>5670.67</v>
      </c>
      <c r="N156" s="502"/>
      <c r="O156" s="502">
        <v>0</v>
      </c>
      <c r="P156" s="502">
        <f>K156+L156-M156+N156-O156</f>
        <v>0</v>
      </c>
    </row>
    <row r="157" spans="1:16" s="504" customFormat="1" ht="14.25" x14ac:dyDescent="0.2">
      <c r="A157" s="500">
        <v>130</v>
      </c>
      <c r="B157" s="500">
        <v>2</v>
      </c>
      <c r="C157" s="500" t="s">
        <v>813</v>
      </c>
      <c r="D157" s="500" t="s">
        <v>817</v>
      </c>
      <c r="E157" s="500" t="s">
        <v>805</v>
      </c>
      <c r="F157" s="500"/>
      <c r="G157" s="500" t="s">
        <v>806</v>
      </c>
      <c r="H157" s="500"/>
      <c r="I157" s="508" t="s">
        <v>195</v>
      </c>
      <c r="J157" s="506" t="s">
        <v>563</v>
      </c>
      <c r="K157" s="502">
        <v>0</v>
      </c>
      <c r="L157" s="502">
        <v>6927.65</v>
      </c>
      <c r="M157" s="502">
        <v>6927.65</v>
      </c>
      <c r="N157" s="502"/>
      <c r="O157" s="502">
        <v>0</v>
      </c>
      <c r="P157" s="502">
        <f>K157+L157-M157+N157-O157</f>
        <v>0</v>
      </c>
    </row>
    <row r="158" spans="1:16" s="504" customFormat="1" ht="14.25" x14ac:dyDescent="0.2">
      <c r="A158" s="500">
        <v>1330</v>
      </c>
      <c r="B158" s="500">
        <v>0</v>
      </c>
      <c r="C158" s="500" t="s">
        <v>996</v>
      </c>
      <c r="D158" s="500" t="s">
        <v>997</v>
      </c>
      <c r="E158" s="500" t="s">
        <v>995</v>
      </c>
      <c r="F158" s="500"/>
      <c r="G158" s="500" t="s">
        <v>799</v>
      </c>
      <c r="H158" s="500"/>
      <c r="I158" s="509" t="s">
        <v>195</v>
      </c>
      <c r="J158" s="507" t="s">
        <v>785</v>
      </c>
      <c r="K158" s="502">
        <v>0</v>
      </c>
      <c r="L158" s="502">
        <v>11161.58</v>
      </c>
      <c r="M158" s="502">
        <v>11161.58</v>
      </c>
      <c r="N158" s="502"/>
      <c r="O158" s="502">
        <v>0</v>
      </c>
      <c r="P158" s="502">
        <f>K158+L158-M158+N158-O158</f>
        <v>0</v>
      </c>
    </row>
    <row r="160" spans="1:16" s="68" customFormat="1" x14ac:dyDescent="0.25">
      <c r="D160" s="68" t="s">
        <v>184</v>
      </c>
      <c r="I160" s="68" t="s">
        <v>195</v>
      </c>
      <c r="K160" s="67">
        <f>SUM(K152:K159)</f>
        <v>0</v>
      </c>
      <c r="L160" s="67">
        <f t="shared" ref="L160:P160" si="17">SUM(L152:L159)</f>
        <v>34841.94</v>
      </c>
      <c r="M160" s="67">
        <f t="shared" si="17"/>
        <v>34841.94</v>
      </c>
      <c r="N160" s="67">
        <f t="shared" si="17"/>
        <v>0</v>
      </c>
      <c r="O160" s="67">
        <f t="shared" si="17"/>
        <v>0</v>
      </c>
      <c r="P160" s="67">
        <f t="shared" si="17"/>
        <v>0</v>
      </c>
    </row>
    <row r="164" spans="1:16" s="68" customFormat="1" x14ac:dyDescent="0.25">
      <c r="D164" s="68" t="s">
        <v>185</v>
      </c>
      <c r="I164" s="68" t="s">
        <v>196</v>
      </c>
      <c r="K164" s="67">
        <f>SUM(K161:K163)</f>
        <v>0</v>
      </c>
      <c r="L164" s="67">
        <f t="shared" ref="L164:P164" si="18">SUM(L161:L163)</f>
        <v>0</v>
      </c>
      <c r="M164" s="67">
        <f t="shared" si="18"/>
        <v>0</v>
      </c>
      <c r="N164" s="67">
        <f t="shared" si="18"/>
        <v>0</v>
      </c>
      <c r="O164" s="67">
        <f t="shared" si="18"/>
        <v>0</v>
      </c>
      <c r="P164" s="67">
        <f t="shared" si="18"/>
        <v>0</v>
      </c>
    </row>
    <row r="167" spans="1:16" s="504" customFormat="1" ht="14.25" x14ac:dyDescent="0.2">
      <c r="A167" s="500">
        <v>115</v>
      </c>
      <c r="B167" s="500">
        <v>0</v>
      </c>
      <c r="C167" s="500" t="s">
        <v>797</v>
      </c>
      <c r="D167" s="500" t="s">
        <v>798</v>
      </c>
      <c r="E167" s="500" t="s">
        <v>799</v>
      </c>
      <c r="F167" s="500"/>
      <c r="G167" s="500" t="s">
        <v>800</v>
      </c>
      <c r="H167" s="500"/>
      <c r="I167" s="508" t="s">
        <v>197</v>
      </c>
      <c r="J167" s="506" t="s">
        <v>563</v>
      </c>
      <c r="K167" s="502">
        <v>0</v>
      </c>
      <c r="L167" s="502">
        <v>11779.2</v>
      </c>
      <c r="M167" s="502">
        <v>11779.2</v>
      </c>
      <c r="N167" s="502"/>
      <c r="O167" s="502">
        <v>0</v>
      </c>
      <c r="P167" s="502">
        <f t="shared" ref="P167:P191" si="19">K167+L167-M167+N167-O167</f>
        <v>0</v>
      </c>
    </row>
    <row r="168" spans="1:16" s="504" customFormat="1" ht="14.25" x14ac:dyDescent="0.2">
      <c r="A168" s="500">
        <v>120</v>
      </c>
      <c r="B168" s="500">
        <v>0</v>
      </c>
      <c r="C168" s="500" t="s">
        <v>797</v>
      </c>
      <c r="D168" s="500" t="s">
        <v>801</v>
      </c>
      <c r="E168" s="500" t="s">
        <v>799</v>
      </c>
      <c r="F168" s="500"/>
      <c r="G168" s="500" t="s">
        <v>800</v>
      </c>
      <c r="H168" s="500"/>
      <c r="I168" s="508" t="s">
        <v>197</v>
      </c>
      <c r="J168" s="506" t="s">
        <v>563</v>
      </c>
      <c r="K168" s="502">
        <v>0</v>
      </c>
      <c r="L168" s="502">
        <v>28598.51</v>
      </c>
      <c r="M168" s="502">
        <v>28598.51</v>
      </c>
      <c r="N168" s="502"/>
      <c r="O168" s="502">
        <v>0</v>
      </c>
      <c r="P168" s="502">
        <f t="shared" si="19"/>
        <v>0</v>
      </c>
    </row>
    <row r="169" spans="1:16" s="504" customFormat="1" ht="14.25" x14ac:dyDescent="0.2">
      <c r="A169" s="500">
        <v>120</v>
      </c>
      <c r="B169" s="500">
        <v>1</v>
      </c>
      <c r="C169" s="500" t="s">
        <v>797</v>
      </c>
      <c r="D169" s="500" t="s">
        <v>802</v>
      </c>
      <c r="E169" s="500" t="s">
        <v>799</v>
      </c>
      <c r="F169" s="500"/>
      <c r="G169" s="500" t="s">
        <v>803</v>
      </c>
      <c r="H169" s="500"/>
      <c r="I169" s="508" t="s">
        <v>197</v>
      </c>
      <c r="J169" s="506" t="s">
        <v>563</v>
      </c>
      <c r="K169" s="502">
        <v>0</v>
      </c>
      <c r="L169" s="502">
        <v>19931.36</v>
      </c>
      <c r="M169" s="502">
        <v>19931.36</v>
      </c>
      <c r="N169" s="502"/>
      <c r="O169" s="502">
        <v>0</v>
      </c>
      <c r="P169" s="502">
        <f t="shared" si="19"/>
        <v>0</v>
      </c>
    </row>
    <row r="170" spans="1:16" s="504" customFormat="1" ht="14.25" x14ac:dyDescent="0.2">
      <c r="A170" s="500">
        <v>120</v>
      </c>
      <c r="B170" s="500">
        <v>2</v>
      </c>
      <c r="C170" s="500" t="s">
        <v>797</v>
      </c>
      <c r="D170" s="500" t="s">
        <v>804</v>
      </c>
      <c r="E170" s="500" t="s">
        <v>805</v>
      </c>
      <c r="F170" s="500"/>
      <c r="G170" s="500" t="s">
        <v>806</v>
      </c>
      <c r="H170" s="500"/>
      <c r="I170" s="508" t="s">
        <v>197</v>
      </c>
      <c r="J170" s="506" t="s">
        <v>563</v>
      </c>
      <c r="K170" s="502">
        <v>0</v>
      </c>
      <c r="L170" s="502">
        <v>25263.95</v>
      </c>
      <c r="M170" s="502">
        <v>25263.95</v>
      </c>
      <c r="N170" s="502"/>
      <c r="O170" s="502">
        <v>0</v>
      </c>
      <c r="P170" s="502">
        <f t="shared" si="19"/>
        <v>0</v>
      </c>
    </row>
    <row r="171" spans="1:16" s="504" customFormat="1" ht="14.25" x14ac:dyDescent="0.2">
      <c r="A171" s="500">
        <v>140</v>
      </c>
      <c r="B171" s="500">
        <v>0</v>
      </c>
      <c r="C171" s="500" t="s">
        <v>807</v>
      </c>
      <c r="D171" s="500" t="s">
        <v>808</v>
      </c>
      <c r="E171" s="500" t="s">
        <v>799</v>
      </c>
      <c r="F171" s="500"/>
      <c r="G171" s="500" t="s">
        <v>800</v>
      </c>
      <c r="H171" s="500"/>
      <c r="I171" s="508" t="s">
        <v>197</v>
      </c>
      <c r="J171" s="506" t="s">
        <v>563</v>
      </c>
      <c r="K171" s="502">
        <v>0.04</v>
      </c>
      <c r="L171" s="502">
        <v>5499.96</v>
      </c>
      <c r="M171" s="502">
        <v>5499.96</v>
      </c>
      <c r="N171" s="502"/>
      <c r="O171" s="502">
        <v>0.04</v>
      </c>
      <c r="P171" s="502">
        <f t="shared" si="19"/>
        <v>-3.6380620738185598E-14</v>
      </c>
    </row>
    <row r="172" spans="1:16" s="504" customFormat="1" ht="14.25" x14ac:dyDescent="0.2">
      <c r="A172" s="500">
        <v>140</v>
      </c>
      <c r="B172" s="500">
        <v>2</v>
      </c>
      <c r="C172" s="500" t="s">
        <v>807</v>
      </c>
      <c r="D172" s="500" t="s">
        <v>809</v>
      </c>
      <c r="E172" s="500" t="s">
        <v>799</v>
      </c>
      <c r="F172" s="500"/>
      <c r="G172" s="500" t="s">
        <v>803</v>
      </c>
      <c r="H172" s="500"/>
      <c r="I172" s="508" t="s">
        <v>197</v>
      </c>
      <c r="J172" s="506" t="s">
        <v>563</v>
      </c>
      <c r="K172" s="502">
        <v>85.85</v>
      </c>
      <c r="L172" s="502">
        <v>2697</v>
      </c>
      <c r="M172" s="502">
        <v>2697</v>
      </c>
      <c r="N172" s="502"/>
      <c r="O172" s="502">
        <v>85.85</v>
      </c>
      <c r="P172" s="502">
        <f t="shared" si="19"/>
        <v>0</v>
      </c>
    </row>
    <row r="173" spans="1:16" s="504" customFormat="1" ht="14.25" x14ac:dyDescent="0.2">
      <c r="A173" s="500">
        <v>140</v>
      </c>
      <c r="B173" s="500">
        <v>3</v>
      </c>
      <c r="C173" s="500" t="s">
        <v>807</v>
      </c>
      <c r="D173" s="500" t="s">
        <v>810</v>
      </c>
      <c r="E173" s="500" t="s">
        <v>805</v>
      </c>
      <c r="F173" s="500"/>
      <c r="G173" s="500" t="s">
        <v>806</v>
      </c>
      <c r="H173" s="500"/>
      <c r="I173" s="508" t="s">
        <v>197</v>
      </c>
      <c r="J173" s="506" t="s">
        <v>563</v>
      </c>
      <c r="K173" s="502">
        <v>0</v>
      </c>
      <c r="L173" s="502">
        <v>2000</v>
      </c>
      <c r="M173" s="502">
        <v>2000</v>
      </c>
      <c r="N173" s="502"/>
      <c r="O173" s="502">
        <v>0</v>
      </c>
      <c r="P173" s="502">
        <f t="shared" si="19"/>
        <v>0</v>
      </c>
    </row>
    <row r="174" spans="1:16" s="504" customFormat="1" ht="14.25" x14ac:dyDescent="0.2">
      <c r="A174" s="500">
        <v>60</v>
      </c>
      <c r="B174" s="500">
        <v>0</v>
      </c>
      <c r="C174" s="500" t="s">
        <v>854</v>
      </c>
      <c r="D174" s="500" t="s">
        <v>855</v>
      </c>
      <c r="E174" s="500" t="s">
        <v>799</v>
      </c>
      <c r="F174" s="500"/>
      <c r="G174" s="500" t="s">
        <v>799</v>
      </c>
      <c r="H174" s="500"/>
      <c r="I174" s="508" t="s">
        <v>197</v>
      </c>
      <c r="J174" s="501" t="s">
        <v>545</v>
      </c>
      <c r="K174" s="502">
        <v>1000</v>
      </c>
      <c r="L174" s="502">
        <v>30602.16</v>
      </c>
      <c r="M174" s="502">
        <v>27693.23</v>
      </c>
      <c r="N174" s="502"/>
      <c r="O174" s="502">
        <v>1000</v>
      </c>
      <c r="P174" s="502">
        <f t="shared" si="19"/>
        <v>2908.9300000000003</v>
      </c>
    </row>
    <row r="175" spans="1:16" s="504" customFormat="1" ht="14.25" x14ac:dyDescent="0.2">
      <c r="A175" s="500">
        <v>80</v>
      </c>
      <c r="B175" s="500">
        <v>0</v>
      </c>
      <c r="C175" s="500" t="s">
        <v>856</v>
      </c>
      <c r="D175" s="500" t="s">
        <v>857</v>
      </c>
      <c r="E175" s="500" t="s">
        <v>799</v>
      </c>
      <c r="F175" s="500"/>
      <c r="G175" s="500" t="s">
        <v>806</v>
      </c>
      <c r="H175" s="500"/>
      <c r="I175" s="508" t="s">
        <v>197</v>
      </c>
      <c r="J175" s="501" t="s">
        <v>545</v>
      </c>
      <c r="K175" s="502">
        <v>3152.56</v>
      </c>
      <c r="L175" s="502">
        <v>3300</v>
      </c>
      <c r="M175" s="502">
        <v>3152.56</v>
      </c>
      <c r="N175" s="502"/>
      <c r="O175" s="502">
        <v>0</v>
      </c>
      <c r="P175" s="502">
        <f t="shared" si="19"/>
        <v>3299.9999999999995</v>
      </c>
    </row>
    <row r="176" spans="1:16" s="504" customFormat="1" ht="14.25" x14ac:dyDescent="0.2">
      <c r="A176" s="500">
        <v>150</v>
      </c>
      <c r="B176" s="500">
        <v>1</v>
      </c>
      <c r="C176" s="500" t="s">
        <v>858</v>
      </c>
      <c r="D176" s="500" t="s">
        <v>859</v>
      </c>
      <c r="E176" s="500" t="s">
        <v>799</v>
      </c>
      <c r="F176" s="500"/>
      <c r="G176" s="500" t="s">
        <v>803</v>
      </c>
      <c r="H176" s="500"/>
      <c r="I176" s="508" t="s">
        <v>197</v>
      </c>
      <c r="J176" s="501" t="s">
        <v>545</v>
      </c>
      <c r="K176" s="502">
        <v>148.31</v>
      </c>
      <c r="L176" s="502">
        <v>44.28</v>
      </c>
      <c r="M176" s="502">
        <v>148.31</v>
      </c>
      <c r="N176" s="502"/>
      <c r="O176" s="502">
        <v>0</v>
      </c>
      <c r="P176" s="502">
        <f t="shared" si="19"/>
        <v>44.28</v>
      </c>
    </row>
    <row r="177" spans="1:16" s="504" customFormat="1" ht="14.25" x14ac:dyDescent="0.2">
      <c r="A177" s="500">
        <v>85</v>
      </c>
      <c r="B177" s="500">
        <v>0</v>
      </c>
      <c r="C177" s="500" t="s">
        <v>886</v>
      </c>
      <c r="D177" s="500" t="s">
        <v>887</v>
      </c>
      <c r="E177" s="500" t="s">
        <v>843</v>
      </c>
      <c r="F177" s="500"/>
      <c r="G177" s="500" t="s">
        <v>799</v>
      </c>
      <c r="H177" s="500"/>
      <c r="I177" s="508" t="s">
        <v>197</v>
      </c>
      <c r="J177" s="501" t="s">
        <v>545</v>
      </c>
      <c r="K177" s="502">
        <v>1489.32</v>
      </c>
      <c r="L177" s="502">
        <v>5923.06</v>
      </c>
      <c r="M177" s="502">
        <v>5897.58</v>
      </c>
      <c r="N177" s="502"/>
      <c r="O177" s="502">
        <v>0</v>
      </c>
      <c r="P177" s="502">
        <f t="shared" si="19"/>
        <v>1514.8000000000002</v>
      </c>
    </row>
    <row r="178" spans="1:16" s="504" customFormat="1" ht="14.25" x14ac:dyDescent="0.2">
      <c r="A178" s="500">
        <v>420</v>
      </c>
      <c r="B178" s="500">
        <v>0</v>
      </c>
      <c r="C178" s="500" t="s">
        <v>888</v>
      </c>
      <c r="D178" s="500" t="s">
        <v>889</v>
      </c>
      <c r="E178" s="500" t="s">
        <v>843</v>
      </c>
      <c r="F178" s="500"/>
      <c r="G178" s="500" t="s">
        <v>799</v>
      </c>
      <c r="H178" s="500"/>
      <c r="I178" s="508" t="s">
        <v>197</v>
      </c>
      <c r="J178" s="501" t="s">
        <v>545</v>
      </c>
      <c r="K178" s="502">
        <v>0</v>
      </c>
      <c r="L178" s="502">
        <v>11000</v>
      </c>
      <c r="M178" s="502">
        <v>9477.44</v>
      </c>
      <c r="N178" s="502"/>
      <c r="O178" s="502">
        <v>0</v>
      </c>
      <c r="P178" s="502">
        <f t="shared" si="19"/>
        <v>1522.5599999999995</v>
      </c>
    </row>
    <row r="179" spans="1:16" s="504" customFormat="1" ht="14.25" x14ac:dyDescent="0.2">
      <c r="A179" s="500">
        <v>614</v>
      </c>
      <c r="B179" s="500">
        <v>0</v>
      </c>
      <c r="C179" s="500" t="s">
        <v>888</v>
      </c>
      <c r="D179" s="500" t="s">
        <v>890</v>
      </c>
      <c r="E179" s="500" t="s">
        <v>829</v>
      </c>
      <c r="F179" s="500"/>
      <c r="G179" s="500" t="s">
        <v>800</v>
      </c>
      <c r="H179" s="500"/>
      <c r="I179" s="508" t="s">
        <v>197</v>
      </c>
      <c r="J179" s="501" t="s">
        <v>545</v>
      </c>
      <c r="K179" s="502">
        <v>1976</v>
      </c>
      <c r="L179" s="502">
        <v>7698.14</v>
      </c>
      <c r="M179" s="502">
        <v>1976</v>
      </c>
      <c r="N179" s="502"/>
      <c r="O179" s="502">
        <v>0</v>
      </c>
      <c r="P179" s="502">
        <f t="shared" si="19"/>
        <v>7698.1399999999994</v>
      </c>
    </row>
    <row r="180" spans="1:16" s="504" customFormat="1" ht="14.25" x14ac:dyDescent="0.2">
      <c r="A180" s="500">
        <v>230</v>
      </c>
      <c r="B180" s="500">
        <v>3</v>
      </c>
      <c r="C180" s="500" t="s">
        <v>902</v>
      </c>
      <c r="D180" s="500" t="s">
        <v>903</v>
      </c>
      <c r="E180" s="500" t="s">
        <v>799</v>
      </c>
      <c r="F180" s="500"/>
      <c r="G180" s="500" t="s">
        <v>800</v>
      </c>
      <c r="H180" s="500"/>
      <c r="I180" s="508" t="s">
        <v>197</v>
      </c>
      <c r="J180" s="501" t="s">
        <v>545</v>
      </c>
      <c r="K180" s="502">
        <v>82.75</v>
      </c>
      <c r="L180" s="502">
        <v>387.8</v>
      </c>
      <c r="M180" s="502">
        <v>82.75</v>
      </c>
      <c r="N180" s="502"/>
      <c r="O180" s="502">
        <v>0</v>
      </c>
      <c r="P180" s="502">
        <f t="shared" si="19"/>
        <v>387.8</v>
      </c>
    </row>
    <row r="181" spans="1:16" s="504" customFormat="1" ht="14.25" x14ac:dyDescent="0.2">
      <c r="A181" s="500">
        <v>300</v>
      </c>
      <c r="B181" s="500">
        <v>0</v>
      </c>
      <c r="C181" s="500" t="s">
        <v>904</v>
      </c>
      <c r="D181" s="500" t="s">
        <v>905</v>
      </c>
      <c r="E181" s="500" t="s">
        <v>799</v>
      </c>
      <c r="F181" s="500"/>
      <c r="G181" s="500" t="s">
        <v>806</v>
      </c>
      <c r="H181" s="500"/>
      <c r="I181" s="508" t="s">
        <v>197</v>
      </c>
      <c r="J181" s="501" t="s">
        <v>545</v>
      </c>
      <c r="K181" s="502">
        <v>1017.22</v>
      </c>
      <c r="L181" s="502">
        <v>1683.21</v>
      </c>
      <c r="M181" s="502">
        <v>1138.03</v>
      </c>
      <c r="N181" s="502"/>
      <c r="O181" s="502">
        <v>16</v>
      </c>
      <c r="P181" s="502">
        <f t="shared" si="19"/>
        <v>1546.4000000000003</v>
      </c>
    </row>
    <row r="182" spans="1:16" s="504" customFormat="1" ht="14.25" x14ac:dyDescent="0.2">
      <c r="A182" s="500">
        <v>716</v>
      </c>
      <c r="B182" s="500">
        <v>0</v>
      </c>
      <c r="C182" s="500" t="s">
        <v>911</v>
      </c>
      <c r="D182" s="500" t="s">
        <v>912</v>
      </c>
      <c r="E182" s="500" t="s">
        <v>847</v>
      </c>
      <c r="F182" s="500"/>
      <c r="G182" s="500" t="s">
        <v>829</v>
      </c>
      <c r="H182" s="500"/>
      <c r="I182" s="508" t="s">
        <v>197</v>
      </c>
      <c r="J182" s="501" t="s">
        <v>545</v>
      </c>
      <c r="K182" s="502">
        <v>38.5</v>
      </c>
      <c r="L182" s="502">
        <v>707.7</v>
      </c>
      <c r="M182" s="502">
        <v>560.76</v>
      </c>
      <c r="N182" s="502"/>
      <c r="O182" s="502">
        <v>0</v>
      </c>
      <c r="P182" s="502">
        <f t="shared" si="19"/>
        <v>185.44000000000005</v>
      </c>
    </row>
    <row r="183" spans="1:16" s="504" customFormat="1" ht="14.25" x14ac:dyDescent="0.2">
      <c r="A183" s="500">
        <v>885</v>
      </c>
      <c r="B183" s="500">
        <v>0</v>
      </c>
      <c r="C183" s="500" t="s">
        <v>911</v>
      </c>
      <c r="D183" s="500" t="s">
        <v>913</v>
      </c>
      <c r="E183" s="500" t="s">
        <v>847</v>
      </c>
      <c r="F183" s="500"/>
      <c r="G183" s="500" t="s">
        <v>829</v>
      </c>
      <c r="H183" s="500"/>
      <c r="I183" s="508" t="s">
        <v>197</v>
      </c>
      <c r="J183" s="501" t="s">
        <v>545</v>
      </c>
      <c r="K183" s="502">
        <v>1089</v>
      </c>
      <c r="L183" s="502">
        <v>1683</v>
      </c>
      <c r="M183" s="502">
        <v>1089</v>
      </c>
      <c r="N183" s="502"/>
      <c r="O183" s="502">
        <v>0</v>
      </c>
      <c r="P183" s="502">
        <f t="shared" si="19"/>
        <v>1683</v>
      </c>
    </row>
    <row r="184" spans="1:16" s="504" customFormat="1" ht="14.25" x14ac:dyDescent="0.2">
      <c r="A184" s="500">
        <v>360</v>
      </c>
      <c r="B184" s="500">
        <v>0</v>
      </c>
      <c r="C184" s="500" t="s">
        <v>958</v>
      </c>
      <c r="D184" s="500" t="s">
        <v>959</v>
      </c>
      <c r="E184" s="500" t="s">
        <v>799</v>
      </c>
      <c r="F184" s="500"/>
      <c r="G184" s="500" t="s">
        <v>850</v>
      </c>
      <c r="H184" s="500"/>
      <c r="I184" s="508" t="s">
        <v>197</v>
      </c>
      <c r="J184" s="506" t="s">
        <v>546</v>
      </c>
      <c r="K184" s="502">
        <v>882</v>
      </c>
      <c r="L184" s="502">
        <v>4000</v>
      </c>
      <c r="M184" s="502">
        <v>4412.74</v>
      </c>
      <c r="N184" s="502"/>
      <c r="O184" s="502">
        <v>0</v>
      </c>
      <c r="P184" s="502">
        <f t="shared" si="19"/>
        <v>469.26000000000022</v>
      </c>
    </row>
    <row r="185" spans="1:16" s="504" customFormat="1" ht="14.25" x14ac:dyDescent="0.2">
      <c r="A185" s="500">
        <v>212</v>
      </c>
      <c r="B185" s="500">
        <v>0</v>
      </c>
      <c r="C185" s="500" t="s">
        <v>962</v>
      </c>
      <c r="D185" s="500" t="s">
        <v>963</v>
      </c>
      <c r="E185" s="500" t="s">
        <v>799</v>
      </c>
      <c r="F185" s="500"/>
      <c r="G185" s="500" t="s">
        <v>800</v>
      </c>
      <c r="H185" s="500"/>
      <c r="I185" s="508" t="s">
        <v>197</v>
      </c>
      <c r="J185" s="506" t="s">
        <v>546</v>
      </c>
      <c r="K185" s="502">
        <v>750</v>
      </c>
      <c r="L185" s="502">
        <v>0</v>
      </c>
      <c r="M185" s="502">
        <v>750</v>
      </c>
      <c r="N185" s="502"/>
      <c r="O185" s="502">
        <v>0</v>
      </c>
      <c r="P185" s="502">
        <f t="shared" si="19"/>
        <v>0</v>
      </c>
    </row>
    <row r="186" spans="1:16" s="504" customFormat="1" ht="14.25" x14ac:dyDescent="0.2">
      <c r="A186" s="500">
        <v>455</v>
      </c>
      <c r="B186" s="500">
        <v>0</v>
      </c>
      <c r="C186" s="500" t="s">
        <v>962</v>
      </c>
      <c r="D186" s="500" t="s">
        <v>964</v>
      </c>
      <c r="E186" s="500" t="s">
        <v>799</v>
      </c>
      <c r="F186" s="500"/>
      <c r="G186" s="500" t="s">
        <v>806</v>
      </c>
      <c r="H186" s="500"/>
      <c r="I186" s="508" t="s">
        <v>197</v>
      </c>
      <c r="J186" s="506" t="s">
        <v>546</v>
      </c>
      <c r="K186" s="502">
        <v>586.08000000000004</v>
      </c>
      <c r="L186" s="502">
        <v>193</v>
      </c>
      <c r="M186" s="502">
        <v>0</v>
      </c>
      <c r="N186" s="502"/>
      <c r="O186" s="502">
        <v>586.08000000000004</v>
      </c>
      <c r="P186" s="502">
        <f t="shared" si="19"/>
        <v>193</v>
      </c>
    </row>
    <row r="187" spans="1:16" s="504" customFormat="1" ht="14.25" x14ac:dyDescent="0.2">
      <c r="A187" s="500">
        <v>1345</v>
      </c>
      <c r="B187" s="500">
        <v>0</v>
      </c>
      <c r="C187" s="500" t="s">
        <v>998</v>
      </c>
      <c r="D187" s="500" t="s">
        <v>790</v>
      </c>
      <c r="E187" s="500" t="s">
        <v>995</v>
      </c>
      <c r="F187" s="500"/>
      <c r="G187" s="500" t="s">
        <v>799</v>
      </c>
      <c r="H187" s="500"/>
      <c r="I187" s="509" t="s">
        <v>197</v>
      </c>
      <c r="J187" s="507" t="s">
        <v>785</v>
      </c>
      <c r="K187" s="502">
        <v>16.07</v>
      </c>
      <c r="L187" s="502">
        <v>1491.7</v>
      </c>
      <c r="M187" s="502">
        <v>1491.7</v>
      </c>
      <c r="N187" s="502"/>
      <c r="O187" s="502">
        <v>16.07</v>
      </c>
      <c r="P187" s="502">
        <f t="shared" si="19"/>
        <v>-6.3948846218409017E-14</v>
      </c>
    </row>
    <row r="188" spans="1:16" s="504" customFormat="1" ht="14.25" x14ac:dyDescent="0.2">
      <c r="A188" s="500">
        <v>1346</v>
      </c>
      <c r="B188" s="500">
        <v>0</v>
      </c>
      <c r="C188" s="500" t="s">
        <v>998</v>
      </c>
      <c r="D188" s="500" t="s">
        <v>999</v>
      </c>
      <c r="E188" s="500" t="s">
        <v>995</v>
      </c>
      <c r="F188" s="500"/>
      <c r="G188" s="500" t="s">
        <v>799</v>
      </c>
      <c r="H188" s="500"/>
      <c r="I188" s="509" t="s">
        <v>197</v>
      </c>
      <c r="J188" s="507" t="s">
        <v>785</v>
      </c>
      <c r="K188" s="502">
        <v>12.24</v>
      </c>
      <c r="L188" s="502">
        <v>971.2</v>
      </c>
      <c r="M188" s="502">
        <v>971.2</v>
      </c>
      <c r="N188" s="502"/>
      <c r="O188" s="502">
        <v>12.24</v>
      </c>
      <c r="P188" s="502">
        <f t="shared" si="19"/>
        <v>0</v>
      </c>
    </row>
    <row r="189" spans="1:16" s="504" customFormat="1" ht="14.25" x14ac:dyDescent="0.2">
      <c r="A189" s="500">
        <v>1370</v>
      </c>
      <c r="B189" s="500">
        <v>0</v>
      </c>
      <c r="C189" s="500" t="s">
        <v>1002</v>
      </c>
      <c r="D189" s="500" t="s">
        <v>1003</v>
      </c>
      <c r="E189" s="500" t="s">
        <v>995</v>
      </c>
      <c r="F189" s="500"/>
      <c r="G189" s="500" t="s">
        <v>799</v>
      </c>
      <c r="H189" s="500"/>
      <c r="I189" s="508" t="s">
        <v>197</v>
      </c>
      <c r="J189" s="507" t="s">
        <v>785</v>
      </c>
      <c r="K189" s="502">
        <v>0</v>
      </c>
      <c r="L189" s="502">
        <v>4600</v>
      </c>
      <c r="M189" s="502">
        <v>4600</v>
      </c>
      <c r="N189" s="502"/>
      <c r="O189" s="502">
        <v>0</v>
      </c>
      <c r="P189" s="502">
        <f t="shared" si="19"/>
        <v>0</v>
      </c>
    </row>
    <row r="190" spans="1:16" s="504" customFormat="1" ht="14.25" x14ac:dyDescent="0.2">
      <c r="A190" s="500">
        <v>1355</v>
      </c>
      <c r="B190" s="500">
        <v>0</v>
      </c>
      <c r="C190" s="500" t="s">
        <v>1004</v>
      </c>
      <c r="D190" s="500" t="s">
        <v>1005</v>
      </c>
      <c r="E190" s="500" t="s">
        <v>995</v>
      </c>
      <c r="F190" s="500"/>
      <c r="G190" s="500" t="s">
        <v>799</v>
      </c>
      <c r="H190" s="500"/>
      <c r="I190" s="508" t="s">
        <v>197</v>
      </c>
      <c r="J190" s="507" t="s">
        <v>785</v>
      </c>
      <c r="K190" s="502">
        <v>13583.16</v>
      </c>
      <c r="L190" s="502">
        <v>86002.12</v>
      </c>
      <c r="M190" s="502">
        <v>86650.63</v>
      </c>
      <c r="N190" s="502"/>
      <c r="O190" s="502">
        <v>0</v>
      </c>
      <c r="P190" s="502">
        <f t="shared" si="19"/>
        <v>12934.649999999994</v>
      </c>
    </row>
    <row r="191" spans="1:16" s="504" customFormat="1" ht="14.25" x14ac:dyDescent="0.2">
      <c r="A191" s="500">
        <v>1360</v>
      </c>
      <c r="B191" s="500">
        <v>0</v>
      </c>
      <c r="C191" s="500" t="s">
        <v>1006</v>
      </c>
      <c r="D191" s="500" t="s">
        <v>1007</v>
      </c>
      <c r="E191" s="500" t="s">
        <v>995</v>
      </c>
      <c r="F191" s="500"/>
      <c r="G191" s="500" t="s">
        <v>799</v>
      </c>
      <c r="H191" s="500"/>
      <c r="I191" s="508" t="s">
        <v>197</v>
      </c>
      <c r="J191" s="507" t="s">
        <v>785</v>
      </c>
      <c r="K191" s="502">
        <v>261.3</v>
      </c>
      <c r="L191" s="502">
        <v>5907.29</v>
      </c>
      <c r="M191" s="502">
        <v>5907.29</v>
      </c>
      <c r="N191" s="502"/>
      <c r="O191" s="502">
        <v>261.3</v>
      </c>
      <c r="P191" s="502">
        <f t="shared" si="19"/>
        <v>0</v>
      </c>
    </row>
    <row r="193" spans="4:16" s="68" customFormat="1" x14ac:dyDescent="0.25">
      <c r="D193" s="68" t="s">
        <v>186</v>
      </c>
      <c r="I193" s="68" t="s">
        <v>197</v>
      </c>
      <c r="K193" s="67">
        <f>SUM(K165:K192)</f>
        <v>26170.399999999998</v>
      </c>
      <c r="L193" s="67">
        <f t="shared" ref="L193:P193" si="20">SUM(L165:L192)</f>
        <v>261964.64000000004</v>
      </c>
      <c r="M193" s="67">
        <f t="shared" si="20"/>
        <v>251769.20000000004</v>
      </c>
      <c r="N193" s="67">
        <f t="shared" si="20"/>
        <v>0</v>
      </c>
      <c r="O193" s="67">
        <f t="shared" si="20"/>
        <v>1977.5800000000002</v>
      </c>
      <c r="P193" s="67">
        <f t="shared" si="20"/>
        <v>34388.259999999995</v>
      </c>
    </row>
  </sheetData>
  <sortState ref="A66:Q194">
    <sortCondition ref="I66:I19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11</vt:i4>
      </vt:variant>
    </vt:vector>
  </HeadingPairs>
  <TitlesOfParts>
    <vt:vector size="29" baseType="lpstr">
      <vt:lpstr>CONTO ECO</vt:lpstr>
      <vt:lpstr>SP-ATTIVO</vt:lpstr>
      <vt:lpstr>SP- PASSIVO</vt:lpstr>
      <vt:lpstr>DETTAGLI</vt:lpstr>
      <vt:lpstr>ALTRE CAUSE</vt:lpstr>
      <vt:lpstr>TITOLO 2 NON IMMOBILIZZATI</vt:lpstr>
      <vt:lpstr>CONCILIAZIONE</vt:lpstr>
      <vt:lpstr>Attivo</vt:lpstr>
      <vt:lpstr>Passivo</vt:lpstr>
      <vt:lpstr>Accertamenti competenza</vt:lpstr>
      <vt:lpstr>Impegni competenza</vt:lpstr>
      <vt:lpstr>Bilancio entrata</vt:lpstr>
      <vt:lpstr>Bilancio spesa</vt:lpstr>
      <vt:lpstr>Altre</vt:lpstr>
      <vt:lpstr>Ratei e risconti</vt:lpstr>
      <vt:lpstr>Titolo 2</vt:lpstr>
      <vt:lpstr>Variazioni immobilizzazioni CF</vt:lpstr>
      <vt:lpstr>Variazioni immobilizzazioni AC</vt:lpstr>
      <vt:lpstr>'ALTRE CAUSE'!Area_stampa</vt:lpstr>
      <vt:lpstr>CONCILIAZIONE!Area_stampa</vt:lpstr>
      <vt:lpstr>'CONTO ECO'!Area_stampa</vt:lpstr>
      <vt:lpstr>DETTAGLI!Area_stampa</vt:lpstr>
      <vt:lpstr>'Ratei e risconti'!Area_stampa</vt:lpstr>
      <vt:lpstr>'SP- PASSIVO'!Area_stampa</vt:lpstr>
      <vt:lpstr>'SP-ATTIVO'!Area_stampa</vt:lpstr>
      <vt:lpstr>'TITOLO 2 NON IMMOBILIZZATI'!Area_stampa</vt:lpstr>
      <vt:lpstr>'CONTO ECO'!Titoli_stampa</vt:lpstr>
      <vt:lpstr>'SP- PASSIVO'!Titoli_stampa</vt:lpstr>
      <vt:lpstr>'SP-ATTIVO'!Titoli_stampa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PERSONALE</dc:creator>
  <cp:lastModifiedBy>PERSONALE</cp:lastModifiedBy>
  <cp:lastPrinted>2026-03-30T16:22:47Z</cp:lastPrinted>
  <dcterms:created xsi:type="dcterms:W3CDTF">2017-12-27T17:13:17Z</dcterms:created>
  <dcterms:modified xsi:type="dcterms:W3CDTF">2026-03-30T16:23:19Z</dcterms:modified>
</cp:coreProperties>
</file>